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I am a witness - CHRT case\FINAL ruling\September 2016 update\"/>
    </mc:Choice>
  </mc:AlternateContent>
  <bookViews>
    <workbookView xWindow="0" yWindow="0" windowWidth="28800" windowHeight="11835" activeTab="3"/>
  </bookViews>
  <sheets>
    <sheet name="Original Formula" sheetId="14" r:id="rId1"/>
    <sheet name="Updated - 1000 Model" sheetId="17" r:id="rId2"/>
    <sheet name="Updated Model Agencies" sheetId="18" r:id="rId3"/>
    <sheet name="Reconciliation SK 15-16" sheetId="19" r:id="rId4"/>
    <sheet name="SK Methodology Notes" sheetId="13" r:id="rId5"/>
    <sheet name="Budget 2016" sheetId="20" r:id="rId6"/>
  </sheets>
  <definedNames>
    <definedName name="_xlnm.Print_Area" localSheetId="3">'Reconciliation SK 15-16'!$A$1:$X$23</definedName>
    <definedName name="_xlnm.Print_Area" localSheetId="4">'SK Methodology Notes'!$A$1:$D$31</definedName>
    <definedName name="_xlnm.Print_Area" localSheetId="2">'Updated Model Agencies'!$A$1:$L$1342</definedName>
  </definedNames>
  <calcPr calcId="152511"/>
</workbook>
</file>

<file path=xl/calcChain.xml><?xml version="1.0" encoding="utf-8"?>
<calcChain xmlns="http://schemas.openxmlformats.org/spreadsheetml/2006/main">
  <c r="E19" i="20" l="1"/>
  <c r="G18" i="20"/>
  <c r="D18" i="20"/>
  <c r="C18" i="20"/>
  <c r="B18" i="20"/>
  <c r="D17" i="20"/>
  <c r="C17" i="20"/>
  <c r="B17" i="20"/>
  <c r="G17" i="20" s="1"/>
  <c r="G16" i="20"/>
  <c r="D16" i="20"/>
  <c r="C16" i="20"/>
  <c r="B16" i="20"/>
  <c r="D15" i="20"/>
  <c r="C15" i="20"/>
  <c r="B15" i="20"/>
  <c r="D14" i="20"/>
  <c r="C14" i="20"/>
  <c r="B14" i="20"/>
  <c r="G14" i="20" s="1"/>
  <c r="D13" i="20"/>
  <c r="C13" i="20"/>
  <c r="B13" i="20"/>
  <c r="G13" i="20" s="1"/>
  <c r="D12" i="20"/>
  <c r="C12" i="20"/>
  <c r="B12" i="20"/>
  <c r="D11" i="20"/>
  <c r="C11" i="20"/>
  <c r="B11" i="20"/>
  <c r="G10" i="20"/>
  <c r="D10" i="20"/>
  <c r="C10" i="20"/>
  <c r="B10" i="20"/>
  <c r="D9" i="20"/>
  <c r="C9" i="20"/>
  <c r="B9" i="20"/>
  <c r="G9" i="20" s="1"/>
  <c r="G8" i="20"/>
  <c r="D8" i="20"/>
  <c r="C8" i="20"/>
  <c r="B8" i="20"/>
  <c r="D7" i="20"/>
  <c r="C7" i="20"/>
  <c r="B7" i="20"/>
  <c r="D6" i="20"/>
  <c r="C6" i="20"/>
  <c r="B6" i="20"/>
  <c r="G6" i="20" s="1"/>
  <c r="D5" i="20"/>
  <c r="C5" i="20"/>
  <c r="B5" i="20"/>
  <c r="G5" i="20" s="1"/>
  <c r="D4" i="20"/>
  <c r="C4" i="20"/>
  <c r="B4" i="20"/>
  <c r="D3" i="20"/>
  <c r="C3" i="20"/>
  <c r="B3" i="20"/>
  <c r="G2" i="20"/>
  <c r="D2" i="20"/>
  <c r="C2" i="20"/>
  <c r="B2" i="20"/>
  <c r="H21" i="19"/>
  <c r="F21" i="19"/>
  <c r="E21" i="19"/>
  <c r="C21" i="19"/>
  <c r="I20" i="19"/>
  <c r="G20" i="19"/>
  <c r="I19" i="19"/>
  <c r="G19" i="19"/>
  <c r="I18" i="19"/>
  <c r="G18" i="19"/>
  <c r="I17" i="19"/>
  <c r="G17" i="19"/>
  <c r="I16" i="19"/>
  <c r="G16" i="19"/>
  <c r="I15" i="19"/>
  <c r="G15" i="19"/>
  <c r="I14" i="19"/>
  <c r="G14" i="19"/>
  <c r="I13" i="19"/>
  <c r="G13" i="19"/>
  <c r="I12" i="19"/>
  <c r="G12" i="19"/>
  <c r="I11" i="19"/>
  <c r="G11" i="19"/>
  <c r="I10" i="19"/>
  <c r="G10" i="19"/>
  <c r="I9" i="19"/>
  <c r="G9" i="19"/>
  <c r="I8" i="19"/>
  <c r="G8" i="19"/>
  <c r="I7" i="19"/>
  <c r="G7" i="19"/>
  <c r="I6" i="19"/>
  <c r="G6" i="19"/>
  <c r="I5" i="19"/>
  <c r="G5" i="19"/>
  <c r="I4" i="19"/>
  <c r="G4" i="19"/>
  <c r="I3" i="19"/>
  <c r="G3" i="19"/>
  <c r="G21" i="19" s="1"/>
  <c r="G1332" i="18"/>
  <c r="O1325" i="18"/>
  <c r="J1298" i="18"/>
  <c r="H1298" i="18"/>
  <c r="G1298" i="18"/>
  <c r="E1295" i="18"/>
  <c r="E1293" i="18"/>
  <c r="E1291" i="18"/>
  <c r="E1289" i="18"/>
  <c r="E1287" i="18"/>
  <c r="J1330" i="18" s="1"/>
  <c r="C1273" i="18"/>
  <c r="L1328" i="18" s="1"/>
  <c r="H1263" i="18"/>
  <c r="J1261" i="18"/>
  <c r="L1259" i="18"/>
  <c r="K1259" i="18"/>
  <c r="G1259" i="18"/>
  <c r="H1259" i="18" s="1"/>
  <c r="E1257" i="18"/>
  <c r="F1257" i="18" s="1"/>
  <c r="E1255" i="18"/>
  <c r="E1253" i="18"/>
  <c r="E1251" i="18"/>
  <c r="E1249" i="18"/>
  <c r="G1234" i="18"/>
  <c r="J1232" i="18"/>
  <c r="H1232" i="18"/>
  <c r="G1232" i="18"/>
  <c r="H1230" i="18"/>
  <c r="J1230" i="18" s="1"/>
  <c r="G1230" i="18"/>
  <c r="E1228" i="18"/>
  <c r="J1240" i="18" s="1"/>
  <c r="H1226" i="18"/>
  <c r="J1226" i="18" s="1"/>
  <c r="F1226" i="18"/>
  <c r="F1224" i="18"/>
  <c r="J1222" i="18"/>
  <c r="H1222" i="18"/>
  <c r="F1222" i="18"/>
  <c r="F1220" i="18"/>
  <c r="H1220" i="18" s="1"/>
  <c r="H1218" i="18"/>
  <c r="J1218" i="18" s="1"/>
  <c r="F1218" i="18"/>
  <c r="G1216" i="18"/>
  <c r="L1194" i="18"/>
  <c r="J1192" i="18"/>
  <c r="L1190" i="18"/>
  <c r="K1190" i="18"/>
  <c r="H1190" i="18"/>
  <c r="G1190" i="18"/>
  <c r="F1188" i="18"/>
  <c r="E1188" i="18"/>
  <c r="E1186" i="18"/>
  <c r="H1184" i="18"/>
  <c r="F1184" i="18"/>
  <c r="E1184" i="18"/>
  <c r="F1182" i="18"/>
  <c r="H1182" i="18" s="1"/>
  <c r="E1182" i="18"/>
  <c r="K1182" i="18" s="1"/>
  <c r="E1180" i="18"/>
  <c r="K1180" i="18" s="1"/>
  <c r="J1165" i="18"/>
  <c r="H1165" i="18"/>
  <c r="G1165" i="18"/>
  <c r="G1163" i="18"/>
  <c r="H1163" i="18" s="1"/>
  <c r="J1163" i="18" s="1"/>
  <c r="G1161" i="18"/>
  <c r="H1161" i="18" s="1"/>
  <c r="J1161" i="18" s="1"/>
  <c r="E1159" i="18"/>
  <c r="F1157" i="18"/>
  <c r="H1157" i="18" s="1"/>
  <c r="J1157" i="18" s="1"/>
  <c r="H1155" i="18"/>
  <c r="J1155" i="18" s="1"/>
  <c r="F1155" i="18"/>
  <c r="F1153" i="18"/>
  <c r="H1153" i="18" s="1"/>
  <c r="J1153" i="18" s="1"/>
  <c r="F1151" i="18"/>
  <c r="F1149" i="18"/>
  <c r="H1149" i="18" s="1"/>
  <c r="J1149" i="18" s="1"/>
  <c r="H1147" i="18"/>
  <c r="G1147" i="18"/>
  <c r="H1124" i="18"/>
  <c r="L1124" i="18" s="1"/>
  <c r="J1122" i="18"/>
  <c r="L1120" i="18"/>
  <c r="K1120" i="18"/>
  <c r="G1120" i="18"/>
  <c r="H1120" i="18" s="1"/>
  <c r="E1118" i="18"/>
  <c r="L1122" i="18" s="1"/>
  <c r="E1116" i="18"/>
  <c r="E1114" i="18"/>
  <c r="F1114" i="18" s="1"/>
  <c r="H1114" i="18" s="1"/>
  <c r="E1112" i="18"/>
  <c r="F1112" i="18" s="1"/>
  <c r="H1112" i="18" s="1"/>
  <c r="K1110" i="18"/>
  <c r="E1110" i="18"/>
  <c r="F1110" i="18" s="1"/>
  <c r="H1110" i="18" s="1"/>
  <c r="G1095" i="18"/>
  <c r="H1095" i="18" s="1"/>
  <c r="J1095" i="18" s="1"/>
  <c r="G1093" i="18"/>
  <c r="H1093" i="18" s="1"/>
  <c r="J1093" i="18" s="1"/>
  <c r="J1091" i="18"/>
  <c r="H1091" i="18"/>
  <c r="G1091" i="18"/>
  <c r="F1089" i="18"/>
  <c r="H1089" i="18" s="1"/>
  <c r="J1089" i="18" s="1"/>
  <c r="E1089" i="18"/>
  <c r="J1101" i="18" s="1"/>
  <c r="F1087" i="18"/>
  <c r="H1087" i="18" s="1"/>
  <c r="J1087" i="18" s="1"/>
  <c r="F1085" i="18"/>
  <c r="H1085" i="18" s="1"/>
  <c r="J1085" i="18" s="1"/>
  <c r="F1083" i="18"/>
  <c r="H1083" i="18" s="1"/>
  <c r="J1083" i="18" s="1"/>
  <c r="H1081" i="18"/>
  <c r="F1081" i="18"/>
  <c r="F1079" i="18"/>
  <c r="G1077" i="18"/>
  <c r="L1053" i="18"/>
  <c r="H1053" i="18"/>
  <c r="J1051" i="18"/>
  <c r="L1049" i="18"/>
  <c r="K1049" i="18"/>
  <c r="G1049" i="18"/>
  <c r="H1049" i="18" s="1"/>
  <c r="H1047" i="18"/>
  <c r="L1047" i="18" s="1"/>
  <c r="F1047" i="18"/>
  <c r="L1032" i="18" s="1"/>
  <c r="E1047" i="18"/>
  <c r="L1051" i="18" s="1"/>
  <c r="K1045" i="18"/>
  <c r="H1045" i="18"/>
  <c r="F1045" i="18"/>
  <c r="E1045" i="18"/>
  <c r="K1043" i="18"/>
  <c r="H1043" i="18"/>
  <c r="F1043" i="18"/>
  <c r="E1043" i="18"/>
  <c r="K1041" i="18"/>
  <c r="H1041" i="18"/>
  <c r="F1041" i="18"/>
  <c r="E1041" i="18"/>
  <c r="K1039" i="18"/>
  <c r="H1039" i="18"/>
  <c r="F1039" i="18"/>
  <c r="E1039" i="18"/>
  <c r="E1036" i="18"/>
  <c r="L1030" i="18"/>
  <c r="H1024" i="18"/>
  <c r="J1024" i="18" s="1"/>
  <c r="G1024" i="18"/>
  <c r="G1022" i="18"/>
  <c r="H1022" i="18" s="1"/>
  <c r="J1022" i="18" s="1"/>
  <c r="G1020" i="18"/>
  <c r="H1020" i="18" s="1"/>
  <c r="J1020" i="18" s="1"/>
  <c r="E1018" i="18"/>
  <c r="J1016" i="18"/>
  <c r="F1016" i="18"/>
  <c r="H1016" i="18" s="1"/>
  <c r="H1014" i="18"/>
  <c r="J1014" i="18" s="1"/>
  <c r="F1014" i="18"/>
  <c r="F1012" i="18"/>
  <c r="H1012" i="18" s="1"/>
  <c r="J1012" i="18" s="1"/>
  <c r="F1010" i="18"/>
  <c r="H1010" i="18" s="1"/>
  <c r="F1008" i="18"/>
  <c r="G1006" i="18"/>
  <c r="H1006" i="18" s="1"/>
  <c r="J1006" i="18" s="1"/>
  <c r="L982" i="18"/>
  <c r="J980" i="18"/>
  <c r="L978" i="18"/>
  <c r="K978" i="18"/>
  <c r="H978" i="18"/>
  <c r="G978" i="18"/>
  <c r="E976" i="18"/>
  <c r="E974" i="18"/>
  <c r="K974" i="18" s="1"/>
  <c r="E970" i="18"/>
  <c r="K970" i="18" s="1"/>
  <c r="H953" i="18"/>
  <c r="J953" i="18" s="1"/>
  <c r="G953" i="18"/>
  <c r="G951" i="18"/>
  <c r="H951" i="18" s="1"/>
  <c r="J951" i="18" s="1"/>
  <c r="J949" i="18"/>
  <c r="H949" i="18"/>
  <c r="G949" i="18"/>
  <c r="F945" i="18"/>
  <c r="H945" i="18" s="1"/>
  <c r="J945" i="18" s="1"/>
  <c r="H943" i="18"/>
  <c r="J943" i="18" s="1"/>
  <c r="F943" i="18"/>
  <c r="F941" i="18"/>
  <c r="H941" i="18" s="1"/>
  <c r="J941" i="18" s="1"/>
  <c r="F939" i="18"/>
  <c r="H939" i="18" s="1"/>
  <c r="J937" i="18"/>
  <c r="H937" i="18"/>
  <c r="F937" i="18"/>
  <c r="G935" i="18"/>
  <c r="C924" i="18"/>
  <c r="L911" i="18"/>
  <c r="H911" i="18"/>
  <c r="J909" i="18"/>
  <c r="L907" i="18"/>
  <c r="K907" i="18"/>
  <c r="G907" i="18"/>
  <c r="H907" i="18" s="1"/>
  <c r="E905" i="18"/>
  <c r="L909" i="18" s="1"/>
  <c r="E903" i="18"/>
  <c r="E899" i="18"/>
  <c r="F899" i="18" s="1"/>
  <c r="H899" i="18" s="1"/>
  <c r="G882" i="18"/>
  <c r="H882" i="18" s="1"/>
  <c r="J882" i="18" s="1"/>
  <c r="H880" i="18"/>
  <c r="J880" i="18" s="1"/>
  <c r="G880" i="18"/>
  <c r="G878" i="18"/>
  <c r="H878" i="18" s="1"/>
  <c r="J878" i="18" s="1"/>
  <c r="H874" i="18"/>
  <c r="J874" i="18" s="1"/>
  <c r="F874" i="18"/>
  <c r="F872" i="18"/>
  <c r="H872" i="18" s="1"/>
  <c r="J872" i="18" s="1"/>
  <c r="F870" i="18"/>
  <c r="H870" i="18" s="1"/>
  <c r="J870" i="18" s="1"/>
  <c r="H868" i="18"/>
  <c r="F868" i="18"/>
  <c r="F866" i="18"/>
  <c r="J864" i="18"/>
  <c r="H864" i="18"/>
  <c r="G864" i="18"/>
  <c r="C853" i="18"/>
  <c r="E897" i="18" s="1"/>
  <c r="H841" i="18"/>
  <c r="L841" i="18" s="1"/>
  <c r="J839" i="18"/>
  <c r="L837" i="18"/>
  <c r="K837" i="18"/>
  <c r="H837" i="18"/>
  <c r="G837" i="18"/>
  <c r="E835" i="18"/>
  <c r="F833" i="18"/>
  <c r="H833" i="18" s="1"/>
  <c r="E833" i="18"/>
  <c r="K833" i="18" s="1"/>
  <c r="E831" i="18"/>
  <c r="F831" i="18" s="1"/>
  <c r="H831" i="18" s="1"/>
  <c r="F829" i="18"/>
  <c r="H829" i="18" s="1"/>
  <c r="E829" i="18"/>
  <c r="K829" i="18" s="1"/>
  <c r="E827" i="18"/>
  <c r="G812" i="18"/>
  <c r="H812" i="18" s="1"/>
  <c r="J812" i="18" s="1"/>
  <c r="G810" i="18"/>
  <c r="H810" i="18" s="1"/>
  <c r="J810" i="18" s="1"/>
  <c r="G808" i="18"/>
  <c r="H808" i="18" s="1"/>
  <c r="J808" i="18" s="1"/>
  <c r="E806" i="18"/>
  <c r="H804" i="18"/>
  <c r="J804" i="18" s="1"/>
  <c r="F804" i="18"/>
  <c r="F802" i="18"/>
  <c r="H802" i="18" s="1"/>
  <c r="J802" i="18" s="1"/>
  <c r="F800" i="18"/>
  <c r="H800" i="18" s="1"/>
  <c r="J800" i="18" s="1"/>
  <c r="F798" i="18"/>
  <c r="H798" i="18" s="1"/>
  <c r="H796" i="18"/>
  <c r="J796" i="18" s="1"/>
  <c r="F796" i="18"/>
  <c r="H794" i="18"/>
  <c r="G794" i="18"/>
  <c r="L770" i="18"/>
  <c r="H770" i="18"/>
  <c r="J768" i="18"/>
  <c r="L766" i="18"/>
  <c r="K766" i="18"/>
  <c r="G766" i="18"/>
  <c r="H766" i="18" s="1"/>
  <c r="K758" i="18"/>
  <c r="F758" i="18"/>
  <c r="H758" i="18" s="1"/>
  <c r="J741" i="18"/>
  <c r="H741" i="18"/>
  <c r="G741" i="18"/>
  <c r="G739" i="18"/>
  <c r="H739" i="18" s="1"/>
  <c r="J739" i="18" s="1"/>
  <c r="G737" i="18"/>
  <c r="H737" i="18" s="1"/>
  <c r="J737" i="18" s="1"/>
  <c r="F733" i="18"/>
  <c r="H733" i="18" s="1"/>
  <c r="J733" i="18" s="1"/>
  <c r="J731" i="18"/>
  <c r="H731" i="18"/>
  <c r="F731" i="18"/>
  <c r="F729" i="18"/>
  <c r="H729" i="18" s="1"/>
  <c r="J729" i="18" s="1"/>
  <c r="F727" i="18"/>
  <c r="H727" i="18" s="1"/>
  <c r="F725" i="18"/>
  <c r="H723" i="18"/>
  <c r="J723" i="18" s="1"/>
  <c r="G723" i="18"/>
  <c r="C713" i="18"/>
  <c r="E756" i="18" s="1"/>
  <c r="H700" i="18"/>
  <c r="L700" i="18" s="1"/>
  <c r="J698" i="18"/>
  <c r="L696" i="18"/>
  <c r="K696" i="18"/>
  <c r="G696" i="18"/>
  <c r="H696" i="18" s="1"/>
  <c r="F694" i="18"/>
  <c r="E694" i="18"/>
  <c r="E692" i="18"/>
  <c r="K692" i="18" s="1"/>
  <c r="F688" i="18"/>
  <c r="H688" i="18" s="1"/>
  <c r="E688" i="18"/>
  <c r="K688" i="18" s="1"/>
  <c r="L679" i="18"/>
  <c r="L677" i="18"/>
  <c r="H671" i="18"/>
  <c r="J671" i="18" s="1"/>
  <c r="G671" i="18"/>
  <c r="G669" i="18"/>
  <c r="H669" i="18" s="1"/>
  <c r="J669" i="18" s="1"/>
  <c r="G667" i="18"/>
  <c r="H667" i="18" s="1"/>
  <c r="J667" i="18" s="1"/>
  <c r="F663" i="18"/>
  <c r="H663" i="18" s="1"/>
  <c r="J663" i="18" s="1"/>
  <c r="F661" i="18"/>
  <c r="H661" i="18" s="1"/>
  <c r="J661" i="18" s="1"/>
  <c r="F659" i="18"/>
  <c r="H659" i="18" s="1"/>
  <c r="J659" i="18" s="1"/>
  <c r="F657" i="18"/>
  <c r="H655" i="18"/>
  <c r="J655" i="18" s="1"/>
  <c r="F655" i="18"/>
  <c r="G653" i="18"/>
  <c r="H653" i="18" s="1"/>
  <c r="J653" i="18" s="1"/>
  <c r="C642" i="18"/>
  <c r="H630" i="18"/>
  <c r="L630" i="18" s="1"/>
  <c r="J628" i="18"/>
  <c r="L626" i="18"/>
  <c r="K626" i="18"/>
  <c r="G626" i="18"/>
  <c r="H626" i="18" s="1"/>
  <c r="E624" i="18"/>
  <c r="K622" i="18"/>
  <c r="F622" i="18"/>
  <c r="H622" i="18" s="1"/>
  <c r="E622" i="18"/>
  <c r="F620" i="18"/>
  <c r="H620" i="18" s="1"/>
  <c r="E620" i="18"/>
  <c r="K620" i="18" s="1"/>
  <c r="E618" i="18"/>
  <c r="F618" i="18" s="1"/>
  <c r="H618" i="18" s="1"/>
  <c r="J607" i="18"/>
  <c r="G601" i="18"/>
  <c r="H601" i="18" s="1"/>
  <c r="J601" i="18" s="1"/>
  <c r="J599" i="18"/>
  <c r="G599" i="18"/>
  <c r="H599" i="18" s="1"/>
  <c r="H597" i="18"/>
  <c r="J597" i="18" s="1"/>
  <c r="G597" i="18"/>
  <c r="F595" i="18"/>
  <c r="H595" i="18" s="1"/>
  <c r="J595" i="18" s="1"/>
  <c r="F593" i="18"/>
  <c r="H593" i="18" s="1"/>
  <c r="J593" i="18" s="1"/>
  <c r="F591" i="18"/>
  <c r="H591" i="18" s="1"/>
  <c r="J591" i="18" s="1"/>
  <c r="F589" i="18"/>
  <c r="H589" i="18" s="1"/>
  <c r="J589" i="18" s="1"/>
  <c r="H587" i="18"/>
  <c r="F587" i="18"/>
  <c r="F585" i="18"/>
  <c r="H585" i="18" s="1"/>
  <c r="J585" i="18" s="1"/>
  <c r="J583" i="18"/>
  <c r="G583" i="18"/>
  <c r="H583" i="18" s="1"/>
  <c r="C572" i="18"/>
  <c r="E616" i="18" s="1"/>
  <c r="H560" i="18"/>
  <c r="L560" i="18" s="1"/>
  <c r="J558" i="18"/>
  <c r="L556" i="18"/>
  <c r="K556" i="18"/>
  <c r="H556" i="18"/>
  <c r="G556" i="18"/>
  <c r="F554" i="18"/>
  <c r="H554" i="18" s="1"/>
  <c r="L554" i="18" s="1"/>
  <c r="E554" i="18"/>
  <c r="L558" i="18" s="1"/>
  <c r="K552" i="18"/>
  <c r="F552" i="18"/>
  <c r="H552" i="18" s="1"/>
  <c r="E552" i="18"/>
  <c r="F548" i="18"/>
  <c r="H548" i="18" s="1"/>
  <c r="E548" i="18"/>
  <c r="K548" i="18" s="1"/>
  <c r="L537" i="18"/>
  <c r="L535" i="18"/>
  <c r="L533" i="18"/>
  <c r="H531" i="18"/>
  <c r="J531" i="18" s="1"/>
  <c r="G531" i="18"/>
  <c r="H529" i="18"/>
  <c r="J529" i="18" s="1"/>
  <c r="G529" i="18"/>
  <c r="G527" i="18"/>
  <c r="H527" i="18" s="1"/>
  <c r="J527" i="18" s="1"/>
  <c r="F523" i="18"/>
  <c r="H523" i="18" s="1"/>
  <c r="J523" i="18" s="1"/>
  <c r="H521" i="18"/>
  <c r="J521" i="18" s="1"/>
  <c r="F521" i="18"/>
  <c r="H519" i="18"/>
  <c r="J519" i="18" s="1"/>
  <c r="F519" i="18"/>
  <c r="F517" i="18"/>
  <c r="H517" i="18" s="1"/>
  <c r="F515" i="18"/>
  <c r="G513" i="18"/>
  <c r="H513" i="18" s="1"/>
  <c r="J513" i="18" s="1"/>
  <c r="C502" i="18"/>
  <c r="E525" i="18" s="1"/>
  <c r="H491" i="18"/>
  <c r="L491" i="18" s="1"/>
  <c r="J489" i="18"/>
  <c r="L487" i="18"/>
  <c r="K487" i="18"/>
  <c r="H487" i="18"/>
  <c r="G487" i="18"/>
  <c r="E485" i="18"/>
  <c r="L468" i="18" s="1"/>
  <c r="F483" i="18"/>
  <c r="H483" i="18" s="1"/>
  <c r="E483" i="18"/>
  <c r="K483" i="18" s="1"/>
  <c r="E481" i="18"/>
  <c r="F481" i="18" s="1"/>
  <c r="H481" i="18" s="1"/>
  <c r="F479" i="18"/>
  <c r="H479" i="18" s="1"/>
  <c r="E479" i="18"/>
  <c r="K479" i="18" s="1"/>
  <c r="E477" i="18"/>
  <c r="K477" i="18" s="1"/>
  <c r="G462" i="18"/>
  <c r="H462" i="18" s="1"/>
  <c r="J462" i="18" s="1"/>
  <c r="G460" i="18"/>
  <c r="H460" i="18" s="1"/>
  <c r="J460" i="18" s="1"/>
  <c r="G458" i="18"/>
  <c r="H458" i="18" s="1"/>
  <c r="J458" i="18" s="1"/>
  <c r="H454" i="18"/>
  <c r="J454" i="18" s="1"/>
  <c r="F454" i="18"/>
  <c r="F452" i="18"/>
  <c r="H452" i="18" s="1"/>
  <c r="J452" i="18" s="1"/>
  <c r="F450" i="18"/>
  <c r="F448" i="18"/>
  <c r="H448" i="18" s="1"/>
  <c r="J446" i="18"/>
  <c r="H446" i="18"/>
  <c r="F446" i="18"/>
  <c r="G444" i="18"/>
  <c r="C433" i="18"/>
  <c r="E456" i="18" s="1"/>
  <c r="H421" i="18"/>
  <c r="L421" i="18" s="1"/>
  <c r="J419" i="18"/>
  <c r="L417" i="18"/>
  <c r="K417" i="18"/>
  <c r="G417" i="18"/>
  <c r="H417" i="18" s="1"/>
  <c r="E415" i="18"/>
  <c r="K413" i="18"/>
  <c r="E413" i="18"/>
  <c r="F413" i="18" s="1"/>
  <c r="H413" i="18" s="1"/>
  <c r="K409" i="18"/>
  <c r="E409" i="18"/>
  <c r="F409" i="18" s="1"/>
  <c r="H409" i="18" s="1"/>
  <c r="G392" i="18"/>
  <c r="H392" i="18" s="1"/>
  <c r="J392" i="18" s="1"/>
  <c r="J390" i="18"/>
  <c r="H390" i="18"/>
  <c r="G390" i="18"/>
  <c r="H388" i="18"/>
  <c r="J388" i="18" s="1"/>
  <c r="G388" i="18"/>
  <c r="H384" i="18"/>
  <c r="J384" i="18" s="1"/>
  <c r="F384" i="18"/>
  <c r="F382" i="18"/>
  <c r="H382" i="18" s="1"/>
  <c r="J382" i="18" s="1"/>
  <c r="J380" i="18"/>
  <c r="H380" i="18"/>
  <c r="F380" i="18"/>
  <c r="H378" i="18"/>
  <c r="F378" i="18"/>
  <c r="F376" i="18"/>
  <c r="H376" i="18" s="1"/>
  <c r="J376" i="18" s="1"/>
  <c r="G374" i="18"/>
  <c r="C363" i="18"/>
  <c r="E386" i="18" s="1"/>
  <c r="J398" i="18" s="1"/>
  <c r="L352" i="18"/>
  <c r="J350" i="18"/>
  <c r="L348" i="18"/>
  <c r="K348" i="18"/>
  <c r="H348" i="18"/>
  <c r="G348" i="18"/>
  <c r="K340" i="18"/>
  <c r="H340" i="18"/>
  <c r="F340" i="18"/>
  <c r="E340" i="18"/>
  <c r="H323" i="18"/>
  <c r="J323" i="18" s="1"/>
  <c r="G323" i="18"/>
  <c r="G321" i="18"/>
  <c r="H321" i="18" s="1"/>
  <c r="J321" i="18" s="1"/>
  <c r="G319" i="18"/>
  <c r="H319" i="18" s="1"/>
  <c r="J319" i="18" s="1"/>
  <c r="F315" i="18"/>
  <c r="H315" i="18" s="1"/>
  <c r="J315" i="18" s="1"/>
  <c r="H313" i="18"/>
  <c r="J313" i="18" s="1"/>
  <c r="F313" i="18"/>
  <c r="F311" i="18"/>
  <c r="H311" i="18" s="1"/>
  <c r="J311" i="18" s="1"/>
  <c r="H309" i="18"/>
  <c r="F309" i="18"/>
  <c r="F307" i="18"/>
  <c r="H305" i="18"/>
  <c r="J305" i="18" s="1"/>
  <c r="G305" i="18"/>
  <c r="C295" i="18"/>
  <c r="C294" i="18"/>
  <c r="E317" i="18" s="1"/>
  <c r="L280" i="18"/>
  <c r="H280" i="18"/>
  <c r="J278" i="18"/>
  <c r="L276" i="18"/>
  <c r="K276" i="18"/>
  <c r="H276" i="18"/>
  <c r="G276" i="18"/>
  <c r="K268" i="18"/>
  <c r="H268" i="18"/>
  <c r="F268" i="18"/>
  <c r="G251" i="18"/>
  <c r="H251" i="18" s="1"/>
  <c r="J251" i="18" s="1"/>
  <c r="G249" i="18"/>
  <c r="H249" i="18" s="1"/>
  <c r="J249" i="18" s="1"/>
  <c r="G247" i="18"/>
  <c r="H247" i="18" s="1"/>
  <c r="J247" i="18" s="1"/>
  <c r="H241" i="18"/>
  <c r="J241" i="18" s="1"/>
  <c r="F241" i="18"/>
  <c r="F239" i="18"/>
  <c r="H239" i="18" s="1"/>
  <c r="J239" i="18" s="1"/>
  <c r="F237" i="18"/>
  <c r="H237" i="18" s="1"/>
  <c r="J237" i="18" s="1"/>
  <c r="F235" i="18"/>
  <c r="H235" i="18" s="1"/>
  <c r="F233" i="18"/>
  <c r="H233" i="18" s="1"/>
  <c r="J233" i="18" s="1"/>
  <c r="G231" i="18"/>
  <c r="H231" i="18" s="1"/>
  <c r="J231" i="18" s="1"/>
  <c r="C221" i="18"/>
  <c r="E274" i="18" s="1"/>
  <c r="L257" i="18" s="1"/>
  <c r="C220" i="18"/>
  <c r="L209" i="18"/>
  <c r="J207" i="18"/>
  <c r="L205" i="18"/>
  <c r="K205" i="18"/>
  <c r="G205" i="18"/>
  <c r="H205" i="18" s="1"/>
  <c r="F197" i="18"/>
  <c r="H197" i="18" s="1"/>
  <c r="E197" i="18"/>
  <c r="K197" i="18" s="1"/>
  <c r="G180" i="18"/>
  <c r="H180" i="18" s="1"/>
  <c r="J180" i="18" s="1"/>
  <c r="H178" i="18"/>
  <c r="J178" i="18" s="1"/>
  <c r="G178" i="18"/>
  <c r="G176" i="18"/>
  <c r="H176" i="18" s="1"/>
  <c r="J176" i="18" s="1"/>
  <c r="E172" i="18"/>
  <c r="J170" i="18"/>
  <c r="H170" i="18"/>
  <c r="F170" i="18"/>
  <c r="H168" i="18"/>
  <c r="J168" i="18" s="1"/>
  <c r="F168" i="18"/>
  <c r="F166" i="18"/>
  <c r="F164" i="18"/>
  <c r="H164" i="18" s="1"/>
  <c r="J162" i="18"/>
  <c r="H162" i="18"/>
  <c r="F162" i="18"/>
  <c r="G160" i="18"/>
  <c r="H160" i="18" s="1"/>
  <c r="J160" i="18" s="1"/>
  <c r="C150" i="18"/>
  <c r="E203" i="18" s="1"/>
  <c r="C149" i="18"/>
  <c r="H137" i="18"/>
  <c r="L137" i="18" s="1"/>
  <c r="J135" i="18"/>
  <c r="L133" i="18"/>
  <c r="K133" i="18"/>
  <c r="G133" i="18"/>
  <c r="H133" i="18" s="1"/>
  <c r="K125" i="18"/>
  <c r="F125" i="18"/>
  <c r="H125" i="18" s="1"/>
  <c r="G108" i="18"/>
  <c r="H108" i="18" s="1"/>
  <c r="J108" i="18" s="1"/>
  <c r="G106" i="18"/>
  <c r="H106" i="18" s="1"/>
  <c r="J106" i="18" s="1"/>
  <c r="J104" i="18"/>
  <c r="H104" i="18"/>
  <c r="G104" i="18"/>
  <c r="F98" i="18"/>
  <c r="H98" i="18" s="1"/>
  <c r="J98" i="18" s="1"/>
  <c r="F96" i="18"/>
  <c r="H96" i="18" s="1"/>
  <c r="J96" i="18" s="1"/>
  <c r="F94" i="18"/>
  <c r="H94" i="18" s="1"/>
  <c r="J94" i="18" s="1"/>
  <c r="H92" i="18"/>
  <c r="L448" i="18" s="1"/>
  <c r="F92" i="18"/>
  <c r="F90" i="18"/>
  <c r="H90" i="18" s="1"/>
  <c r="J90" i="18" s="1"/>
  <c r="G88" i="18"/>
  <c r="H88" i="18" s="1"/>
  <c r="C78" i="18"/>
  <c r="C77" i="18"/>
  <c r="E127" i="18" s="1"/>
  <c r="F127" i="18" s="1"/>
  <c r="H127" i="18" s="1"/>
  <c r="L65" i="18"/>
  <c r="K69" i="18" s="1"/>
  <c r="J59" i="18"/>
  <c r="L57" i="18"/>
  <c r="K57" i="18"/>
  <c r="G57" i="18"/>
  <c r="H57" i="18" s="1"/>
  <c r="C55" i="18"/>
  <c r="C53" i="18"/>
  <c r="K51" i="18"/>
  <c r="H51" i="18"/>
  <c r="F51" i="18"/>
  <c r="C51" i="18"/>
  <c r="C49" i="18"/>
  <c r="C46" i="18"/>
  <c r="C44" i="18"/>
  <c r="J40" i="18"/>
  <c r="G34" i="18"/>
  <c r="H34" i="18" s="1"/>
  <c r="J34" i="18" s="1"/>
  <c r="G32" i="18"/>
  <c r="H32" i="18" s="1"/>
  <c r="J32" i="18" s="1"/>
  <c r="G30" i="18"/>
  <c r="H30" i="18" s="1"/>
  <c r="J30" i="18" s="1"/>
  <c r="J28" i="18"/>
  <c r="F26" i="18"/>
  <c r="H26" i="18" s="1"/>
  <c r="J26" i="18" s="1"/>
  <c r="F24" i="18"/>
  <c r="H24" i="18" s="1"/>
  <c r="J24" i="18" s="1"/>
  <c r="H22" i="18"/>
  <c r="J22" i="18" s="1"/>
  <c r="F22" i="18"/>
  <c r="F20" i="18"/>
  <c r="G18" i="18"/>
  <c r="H18" i="18" s="1"/>
  <c r="C8" i="18"/>
  <c r="E55" i="18" s="1"/>
  <c r="C7" i="18"/>
  <c r="E49" i="18" s="1"/>
  <c r="H63" i="17"/>
  <c r="L63" i="17" s="1"/>
  <c r="J61" i="17"/>
  <c r="L59" i="17"/>
  <c r="K59" i="17"/>
  <c r="G59" i="17"/>
  <c r="H59" i="17" s="1"/>
  <c r="K51" i="17"/>
  <c r="F51" i="17"/>
  <c r="H51" i="17" s="1"/>
  <c r="G34" i="17"/>
  <c r="H34" i="17" s="1"/>
  <c r="J34" i="17" s="1"/>
  <c r="G32" i="17"/>
  <c r="H32" i="17" s="1"/>
  <c r="J32" i="17" s="1"/>
  <c r="G30" i="17"/>
  <c r="H30" i="17" s="1"/>
  <c r="J30" i="17" s="1"/>
  <c r="F24" i="17"/>
  <c r="H24" i="17" s="1"/>
  <c r="J24" i="17" s="1"/>
  <c r="F22" i="17"/>
  <c r="H22" i="17" s="1"/>
  <c r="J22" i="17" s="1"/>
  <c r="H20" i="17"/>
  <c r="J20" i="17" s="1"/>
  <c r="F20" i="17"/>
  <c r="F18" i="17"/>
  <c r="H18" i="17" s="1"/>
  <c r="L18" i="17" s="1"/>
  <c r="F16" i="17"/>
  <c r="G14" i="17"/>
  <c r="C5" i="17"/>
  <c r="E55" i="17" s="1"/>
  <c r="C4" i="17"/>
  <c r="E49" i="17" s="1"/>
  <c r="E947" i="18" l="1"/>
  <c r="E972" i="18"/>
  <c r="F972" i="18" s="1"/>
  <c r="H972" i="18" s="1"/>
  <c r="E665" i="18"/>
  <c r="E690" i="18"/>
  <c r="E686" i="18"/>
  <c r="F477" i="18"/>
  <c r="F485" i="18"/>
  <c r="F692" i="18"/>
  <c r="H692" i="18" s="1"/>
  <c r="E824" i="18"/>
  <c r="L818" i="18"/>
  <c r="F835" i="18"/>
  <c r="L820" i="18" s="1"/>
  <c r="E901" i="18"/>
  <c r="F901" i="18" s="1"/>
  <c r="H901" i="18" s="1"/>
  <c r="F970" i="18"/>
  <c r="H970" i="18" s="1"/>
  <c r="K1186" i="18"/>
  <c r="F1186" i="18"/>
  <c r="H1186" i="18" s="1"/>
  <c r="H4" i="20"/>
  <c r="G4" i="20"/>
  <c r="K827" i="18"/>
  <c r="F827" i="18"/>
  <c r="H827" i="18" s="1"/>
  <c r="L959" i="18"/>
  <c r="F976" i="18"/>
  <c r="L1167" i="18"/>
  <c r="L1173" i="18"/>
  <c r="H1188" i="18"/>
  <c r="L1188" i="18" s="1"/>
  <c r="G12" i="20"/>
  <c r="H12" i="20" s="1"/>
  <c r="F1036" i="18"/>
  <c r="H1036" i="18" s="1"/>
  <c r="E1034" i="18"/>
  <c r="K1030" i="18" s="1"/>
  <c r="L1169" i="18"/>
  <c r="I21" i="19"/>
  <c r="C61" i="18"/>
  <c r="L92" i="18"/>
  <c r="L378" i="18"/>
  <c r="F624" i="18"/>
  <c r="L628" i="18"/>
  <c r="L607" i="18"/>
  <c r="F903" i="18"/>
  <c r="H903" i="18" s="1"/>
  <c r="K903" i="18"/>
  <c r="F1116" i="18"/>
  <c r="H1116" i="18" s="1"/>
  <c r="K1116" i="18"/>
  <c r="F1180" i="18"/>
  <c r="H1180" i="18" s="1"/>
  <c r="E1177" i="18"/>
  <c r="F1177" i="18" s="1"/>
  <c r="L1171" i="18"/>
  <c r="F1228" i="18"/>
  <c r="H1228" i="18" s="1"/>
  <c r="J1228" i="18" s="1"/>
  <c r="H2" i="20"/>
  <c r="H10" i="20"/>
  <c r="L539" i="18"/>
  <c r="E683" i="18"/>
  <c r="F683" i="18" s="1"/>
  <c r="H683" i="18" s="1"/>
  <c r="E735" i="18"/>
  <c r="C19" i="20"/>
  <c r="H8" i="20"/>
  <c r="H16" i="20"/>
  <c r="B19" i="20"/>
  <c r="H18" i="20"/>
  <c r="E123" i="18"/>
  <c r="K123" i="18" s="1"/>
  <c r="D19" i="20"/>
  <c r="H6" i="20"/>
  <c r="H14" i="20"/>
  <c r="H7" i="20"/>
  <c r="H13" i="20"/>
  <c r="G3" i="20"/>
  <c r="G7" i="20"/>
  <c r="G11" i="20"/>
  <c r="H11" i="20" s="1"/>
  <c r="G15" i="20"/>
  <c r="H15" i="20" s="1"/>
  <c r="H17" i="20"/>
  <c r="H3" i="20"/>
  <c r="H5" i="20"/>
  <c r="H9" i="20"/>
  <c r="F49" i="18"/>
  <c r="K49" i="18"/>
  <c r="J18" i="18"/>
  <c r="J88" i="18"/>
  <c r="F55" i="18"/>
  <c r="L40" i="18"/>
  <c r="L59" i="18"/>
  <c r="L55" i="18"/>
  <c r="L207" i="18"/>
  <c r="H20" i="18"/>
  <c r="J38" i="18"/>
  <c r="H166" i="18"/>
  <c r="H1291" i="18" s="1"/>
  <c r="J1291" i="18" s="1"/>
  <c r="F317" i="18"/>
  <c r="J325" i="18" s="1"/>
  <c r="H374" i="18"/>
  <c r="F386" i="18"/>
  <c r="E407" i="18"/>
  <c r="E53" i="18"/>
  <c r="K1177" i="18" s="1"/>
  <c r="K127" i="18"/>
  <c r="E199" i="18"/>
  <c r="E195" i="18"/>
  <c r="F203" i="18"/>
  <c r="J468" i="18"/>
  <c r="F456" i="18"/>
  <c r="H456" i="18" s="1"/>
  <c r="J456" i="18" s="1"/>
  <c r="J329" i="18"/>
  <c r="H450" i="18"/>
  <c r="J450" i="18" s="1"/>
  <c r="H624" i="18"/>
  <c r="L624" i="18" s="1"/>
  <c r="L609" i="18"/>
  <c r="L605" i="18"/>
  <c r="L603" i="18"/>
  <c r="J36" i="18"/>
  <c r="J186" i="18"/>
  <c r="F172" i="18"/>
  <c r="H172" i="18" s="1"/>
  <c r="J172" i="18" s="1"/>
  <c r="E270" i="18"/>
  <c r="E266" i="18"/>
  <c r="L278" i="18"/>
  <c r="F274" i="18"/>
  <c r="E243" i="18"/>
  <c r="H444" i="18"/>
  <c r="E472" i="18"/>
  <c r="E342" i="18"/>
  <c r="E338" i="18"/>
  <c r="E411" i="18"/>
  <c r="F415" i="18"/>
  <c r="L398" i="18"/>
  <c r="L419" i="18"/>
  <c r="L186" i="18"/>
  <c r="E346" i="18"/>
  <c r="E344" i="18"/>
  <c r="H307" i="18"/>
  <c r="J307" i="18" s="1"/>
  <c r="J466" i="18"/>
  <c r="H477" i="18"/>
  <c r="L464" i="18"/>
  <c r="K616" i="18"/>
  <c r="F616" i="18"/>
  <c r="C1275" i="18"/>
  <c r="L1220" i="18"/>
  <c r="L1151" i="18"/>
  <c r="L1010" i="18"/>
  <c r="L727" i="18"/>
  <c r="L868" i="18"/>
  <c r="L1081" i="18"/>
  <c r="L939" i="18"/>
  <c r="L798" i="18"/>
  <c r="L657" i="18"/>
  <c r="E129" i="18"/>
  <c r="E1324" i="18" s="1"/>
  <c r="K1324" i="18" s="1"/>
  <c r="E131" i="18"/>
  <c r="L164" i="18"/>
  <c r="E201" i="18"/>
  <c r="L235" i="18"/>
  <c r="E474" i="18"/>
  <c r="F474" i="18" s="1"/>
  <c r="K481" i="18"/>
  <c r="H515" i="18"/>
  <c r="J515" i="18" s="1"/>
  <c r="L517" i="18"/>
  <c r="K618" i="18"/>
  <c r="L489" i="18"/>
  <c r="H657" i="18"/>
  <c r="L673" i="18"/>
  <c r="H694" i="18"/>
  <c r="L694" i="18" s="1"/>
  <c r="L675" i="18"/>
  <c r="F897" i="18"/>
  <c r="K897" i="18"/>
  <c r="J677" i="18"/>
  <c r="F665" i="18"/>
  <c r="H665" i="18" s="1"/>
  <c r="J665" i="18" s="1"/>
  <c r="J794" i="18"/>
  <c r="E822" i="18"/>
  <c r="E843" i="18" s="1"/>
  <c r="G818" i="18" s="1"/>
  <c r="H818" i="18" s="1"/>
  <c r="F824" i="18"/>
  <c r="C1274" i="18"/>
  <c r="E100" i="18"/>
  <c r="E272" i="18"/>
  <c r="L309" i="18"/>
  <c r="E550" i="18"/>
  <c r="E546" i="18"/>
  <c r="F525" i="18"/>
  <c r="H525" i="18" s="1"/>
  <c r="J525" i="18" s="1"/>
  <c r="J537" i="18"/>
  <c r="J605" i="18"/>
  <c r="L587" i="18"/>
  <c r="J603" i="18"/>
  <c r="J632" i="18" s="1"/>
  <c r="Q10" i="19" s="1"/>
  <c r="E613" i="18"/>
  <c r="F613" i="18" s="1"/>
  <c r="K756" i="18"/>
  <c r="F756" i="18"/>
  <c r="J747" i="18"/>
  <c r="F735" i="18"/>
  <c r="J743" i="18" s="1"/>
  <c r="J814" i="18"/>
  <c r="H835" i="18"/>
  <c r="L835" i="18" s="1"/>
  <c r="L816" i="18"/>
  <c r="L698" i="18"/>
  <c r="L839" i="18"/>
  <c r="K899" i="18"/>
  <c r="F947" i="18"/>
  <c r="H947" i="18" s="1"/>
  <c r="J947" i="18" s="1"/>
  <c r="J955" i="18"/>
  <c r="L961" i="18"/>
  <c r="E968" i="18"/>
  <c r="E1318" i="18" s="1"/>
  <c r="K1318" i="18" s="1"/>
  <c r="K972" i="18"/>
  <c r="G1051" i="18"/>
  <c r="H1051" i="18" s="1"/>
  <c r="H1077" i="18"/>
  <c r="J1097" i="18"/>
  <c r="J1099" i="18"/>
  <c r="E760" i="18"/>
  <c r="E762" i="18"/>
  <c r="E764" i="18"/>
  <c r="E1326" i="18" s="1"/>
  <c r="J816" i="18"/>
  <c r="E876" i="18"/>
  <c r="H935" i="18"/>
  <c r="F974" i="18"/>
  <c r="H974" i="18" s="1"/>
  <c r="H1008" i="18"/>
  <c r="J1030" i="18"/>
  <c r="H1079" i="18"/>
  <c r="J1079" i="18" s="1"/>
  <c r="K690" i="18"/>
  <c r="H725" i="18"/>
  <c r="J725" i="18" s="1"/>
  <c r="F806" i="18"/>
  <c r="H806" i="18" s="1"/>
  <c r="J806" i="18" s="1"/>
  <c r="J818" i="18"/>
  <c r="K831" i="18"/>
  <c r="H866" i="18"/>
  <c r="F905" i="18"/>
  <c r="L888" i="18"/>
  <c r="J957" i="18"/>
  <c r="J959" i="18"/>
  <c r="L980" i="18"/>
  <c r="F1018" i="18"/>
  <c r="H1018" i="18" s="1"/>
  <c r="J1018" i="18" s="1"/>
  <c r="L1026" i="18"/>
  <c r="L1028" i="18"/>
  <c r="J1169" i="18"/>
  <c r="K1112" i="18"/>
  <c r="J1171" i="18"/>
  <c r="F1159" i="18"/>
  <c r="H1159" i="18" s="1"/>
  <c r="J1159" i="18" s="1"/>
  <c r="F1289" i="18"/>
  <c r="H1299" i="18"/>
  <c r="E1320" i="18"/>
  <c r="K1320" i="18" s="1"/>
  <c r="H1328" i="18"/>
  <c r="H1332" i="18"/>
  <c r="L1332" i="18" s="1"/>
  <c r="G1285" i="18"/>
  <c r="F1293" i="18"/>
  <c r="J1299" i="18"/>
  <c r="G1303" i="18"/>
  <c r="H1303" i="18" s="1"/>
  <c r="J1147" i="18"/>
  <c r="H1151" i="18"/>
  <c r="H1289" i="18" s="1"/>
  <c r="L1289" i="18" s="1"/>
  <c r="J1167" i="18"/>
  <c r="H1177" i="18"/>
  <c r="F1287" i="18"/>
  <c r="F1291" i="18"/>
  <c r="F1295" i="18"/>
  <c r="G1301" i="18"/>
  <c r="H1301" i="18" s="1"/>
  <c r="J1301" i="18" s="1"/>
  <c r="E1107" i="18"/>
  <c r="F1107" i="18" s="1"/>
  <c r="K1114" i="18"/>
  <c r="F1118" i="18"/>
  <c r="L1101" i="18"/>
  <c r="E1175" i="18"/>
  <c r="G1299" i="18"/>
  <c r="L1242" i="18"/>
  <c r="L1238" i="18"/>
  <c r="L1236" i="18"/>
  <c r="H1257" i="18"/>
  <c r="L1192" i="18"/>
  <c r="L1263" i="18"/>
  <c r="H1295" i="18"/>
  <c r="J1295" i="18" s="1"/>
  <c r="G1328" i="18"/>
  <c r="E1246" i="18"/>
  <c r="E1244" i="18" s="1"/>
  <c r="K1249" i="18"/>
  <c r="K1251" i="18"/>
  <c r="K1253" i="18"/>
  <c r="K1255" i="18"/>
  <c r="L1261" i="18"/>
  <c r="K1328" i="18"/>
  <c r="K1184" i="18"/>
  <c r="H1216" i="18"/>
  <c r="H1224" i="18"/>
  <c r="H1234" i="18"/>
  <c r="J1234" i="18" s="1"/>
  <c r="J1303" i="18" s="1"/>
  <c r="L1240" i="18"/>
  <c r="F1249" i="18"/>
  <c r="F1251" i="18"/>
  <c r="F1253" i="18"/>
  <c r="F1255" i="18"/>
  <c r="F55" i="17"/>
  <c r="H55" i="17" s="1"/>
  <c r="K55" i="17"/>
  <c r="K49" i="17"/>
  <c r="F49" i="17"/>
  <c r="E57" i="17"/>
  <c r="H16" i="17"/>
  <c r="J16" i="17" s="1"/>
  <c r="H14" i="17"/>
  <c r="E53" i="17"/>
  <c r="E26" i="17"/>
  <c r="J182" i="18" l="1"/>
  <c r="F690" i="18"/>
  <c r="H690" i="18" s="1"/>
  <c r="E681" i="18"/>
  <c r="K901" i="18"/>
  <c r="J675" i="18"/>
  <c r="L470" i="18"/>
  <c r="L466" i="18"/>
  <c r="J1236" i="18"/>
  <c r="E894" i="18"/>
  <c r="F894" i="18" s="1"/>
  <c r="H894" i="18" s="1"/>
  <c r="K1051" i="18"/>
  <c r="L814" i="18"/>
  <c r="H485" i="18"/>
  <c r="L485" i="18" s="1"/>
  <c r="F123" i="18"/>
  <c r="J464" i="18"/>
  <c r="G19" i="20"/>
  <c r="J184" i="18"/>
  <c r="F1034" i="18"/>
  <c r="F1032" i="18" s="1"/>
  <c r="L683" i="18"/>
  <c r="J1238" i="18"/>
  <c r="L1177" i="18"/>
  <c r="E1055" i="18"/>
  <c r="G1030" i="18" s="1"/>
  <c r="H1030" i="18" s="1"/>
  <c r="E1297" i="18"/>
  <c r="J673" i="18"/>
  <c r="J533" i="18"/>
  <c r="H976" i="18"/>
  <c r="L976" i="18" s="1"/>
  <c r="L957" i="18"/>
  <c r="L955" i="18"/>
  <c r="K686" i="18"/>
  <c r="F686" i="18"/>
  <c r="H686" i="18" s="1"/>
  <c r="H19" i="20"/>
  <c r="J1309" i="18"/>
  <c r="F760" i="18"/>
  <c r="H760" i="18" s="1"/>
  <c r="K760" i="18"/>
  <c r="H1249" i="18"/>
  <c r="F1246" i="18"/>
  <c r="L1330" i="18"/>
  <c r="L1309" i="18"/>
  <c r="L1257" i="18"/>
  <c r="F1175" i="18"/>
  <c r="G1192" i="18"/>
  <c r="H1192" i="18" s="1"/>
  <c r="K1171" i="18"/>
  <c r="E1196" i="18"/>
  <c r="G1171" i="18" s="1"/>
  <c r="H1171" i="18" s="1"/>
  <c r="L1103" i="18"/>
  <c r="H1118" i="18"/>
  <c r="L1118" i="18" s="1"/>
  <c r="L1099" i="18"/>
  <c r="L1097" i="18"/>
  <c r="E1322" i="18"/>
  <c r="J1026" i="18"/>
  <c r="L890" i="18"/>
  <c r="H905" i="18"/>
  <c r="L905" i="18" s="1"/>
  <c r="L886" i="18"/>
  <c r="L884" i="18"/>
  <c r="J866" i="18"/>
  <c r="J1008" i="18"/>
  <c r="J935" i="18"/>
  <c r="J984" i="18" s="1"/>
  <c r="J985" i="18" s="1"/>
  <c r="Q14" i="19" s="1"/>
  <c r="F762" i="18"/>
  <c r="H762" i="18" s="1"/>
  <c r="K762" i="18"/>
  <c r="H735" i="18"/>
  <c r="J735" i="18" s="1"/>
  <c r="J745" i="18"/>
  <c r="E611" i="18"/>
  <c r="F272" i="18"/>
  <c r="H272" i="18" s="1"/>
  <c r="K272" i="18"/>
  <c r="J843" i="18"/>
  <c r="Q16" i="19" s="1"/>
  <c r="H897" i="18"/>
  <c r="K474" i="18"/>
  <c r="L474" i="18"/>
  <c r="H474" i="18"/>
  <c r="K201" i="18"/>
  <c r="F201" i="18"/>
  <c r="H201" i="18" s="1"/>
  <c r="L135" i="18"/>
  <c r="E120" i="18"/>
  <c r="F120" i="18" s="1"/>
  <c r="F131" i="18"/>
  <c r="L114" i="18"/>
  <c r="L400" i="18"/>
  <c r="H415" i="18"/>
  <c r="L415" i="18" s="1"/>
  <c r="L394" i="18"/>
  <c r="L396" i="18"/>
  <c r="J257" i="18"/>
  <c r="F243" i="18"/>
  <c r="K199" i="18"/>
  <c r="F199" i="18"/>
  <c r="H199" i="18" s="1"/>
  <c r="F407" i="18"/>
  <c r="K407" i="18"/>
  <c r="H317" i="18"/>
  <c r="J327" i="18"/>
  <c r="E192" i="18"/>
  <c r="F192" i="18" s="1"/>
  <c r="H55" i="18"/>
  <c r="L36" i="18"/>
  <c r="L42" i="18"/>
  <c r="L38" i="18"/>
  <c r="H1293" i="18"/>
  <c r="J1293" i="18" s="1"/>
  <c r="J1224" i="18"/>
  <c r="G1261" i="18"/>
  <c r="K1240" i="18"/>
  <c r="F1244" i="18"/>
  <c r="J1028" i="18"/>
  <c r="K613" i="18"/>
  <c r="L613" i="18"/>
  <c r="H613" i="18"/>
  <c r="K546" i="18"/>
  <c r="F546" i="18"/>
  <c r="L824" i="18"/>
  <c r="K824" i="18"/>
  <c r="H824" i="18"/>
  <c r="K129" i="18"/>
  <c r="F129" i="18"/>
  <c r="H129" i="18" s="1"/>
  <c r="F411" i="18"/>
  <c r="H411" i="18" s="1"/>
  <c r="K411" i="18"/>
  <c r="G489" i="18"/>
  <c r="H489" i="18" s="1"/>
  <c r="F472" i="18"/>
  <c r="K468" i="18"/>
  <c r="L253" i="18"/>
  <c r="L255" i="18"/>
  <c r="L259" i="18"/>
  <c r="H274" i="18"/>
  <c r="L274" i="18" s="1"/>
  <c r="K266" i="18"/>
  <c r="F266" i="18"/>
  <c r="E493" i="18"/>
  <c r="G468" i="18" s="1"/>
  <c r="H468" i="18" s="1"/>
  <c r="L182" i="18"/>
  <c r="L184" i="18"/>
  <c r="L188" i="18"/>
  <c r="H203" i="18"/>
  <c r="L203" i="18" s="1"/>
  <c r="K53" i="18"/>
  <c r="F53" i="18"/>
  <c r="H53" i="18" s="1"/>
  <c r="H386" i="18"/>
  <c r="J386" i="18" s="1"/>
  <c r="J20" i="18"/>
  <c r="J61" i="18" s="1"/>
  <c r="H49" i="18"/>
  <c r="H1253" i="18"/>
  <c r="H1285" i="18"/>
  <c r="J1216" i="18"/>
  <c r="E1265" i="18"/>
  <c r="G1240" i="18" s="1"/>
  <c r="H1107" i="18"/>
  <c r="L1107" i="18"/>
  <c r="K1107" i="18"/>
  <c r="L894" i="18"/>
  <c r="K894" i="18"/>
  <c r="J1077" i="18"/>
  <c r="J1126" i="18" s="1"/>
  <c r="Q17" i="19" s="1"/>
  <c r="L1034" i="18"/>
  <c r="K968" i="18"/>
  <c r="F968" i="18"/>
  <c r="F550" i="18"/>
  <c r="H550" i="18" s="1"/>
  <c r="K550" i="18"/>
  <c r="E543" i="18"/>
  <c r="F543" i="18" s="1"/>
  <c r="F822" i="18"/>
  <c r="G839" i="18"/>
  <c r="H839" i="18" s="1"/>
  <c r="K818" i="18"/>
  <c r="J396" i="18"/>
  <c r="F344" i="18"/>
  <c r="H344" i="18" s="1"/>
  <c r="K344" i="18"/>
  <c r="F338" i="18"/>
  <c r="K338" i="18"/>
  <c r="K489" i="18"/>
  <c r="E263" i="18"/>
  <c r="F263" i="18" s="1"/>
  <c r="F270" i="18"/>
  <c r="H270" i="18" s="1"/>
  <c r="K270" i="18"/>
  <c r="J374" i="18"/>
  <c r="K683" i="18"/>
  <c r="H1255" i="18"/>
  <c r="K1192" i="18"/>
  <c r="F876" i="18"/>
  <c r="J888" i="18"/>
  <c r="F1320" i="18"/>
  <c r="H1251" i="18"/>
  <c r="H1320" i="18" s="1"/>
  <c r="K1261" i="18"/>
  <c r="H1287" i="18"/>
  <c r="J1287" i="18" s="1"/>
  <c r="E1105" i="18"/>
  <c r="J1196" i="18"/>
  <c r="J1197" i="18" s="1"/>
  <c r="Q18" i="19" s="1"/>
  <c r="L1036" i="18"/>
  <c r="F764" i="18"/>
  <c r="L768" i="18"/>
  <c r="E753" i="18"/>
  <c r="F753" i="18" s="1"/>
  <c r="L747" i="18"/>
  <c r="E965" i="18"/>
  <c r="F965" i="18" s="1"/>
  <c r="H756" i="18"/>
  <c r="J114" i="18"/>
  <c r="F100" i="18"/>
  <c r="K839" i="18"/>
  <c r="J535" i="18"/>
  <c r="J562" i="18" s="1"/>
  <c r="Q9" i="19" s="1"/>
  <c r="H616" i="18"/>
  <c r="E404" i="18"/>
  <c r="F404" i="18" s="1"/>
  <c r="J394" i="18"/>
  <c r="L350" i="18"/>
  <c r="F346" i="18"/>
  <c r="L329" i="18"/>
  <c r="E335" i="18"/>
  <c r="F335" i="18" s="1"/>
  <c r="H123" i="18"/>
  <c r="F342" i="18"/>
  <c r="H342" i="18" s="1"/>
  <c r="K342" i="18"/>
  <c r="J444" i="18"/>
  <c r="J493" i="18" s="1"/>
  <c r="Q8" i="19" s="1"/>
  <c r="K195" i="18"/>
  <c r="F195" i="18"/>
  <c r="J166" i="18"/>
  <c r="E46" i="18"/>
  <c r="F46" i="18" s="1"/>
  <c r="K1036" i="18"/>
  <c r="K53" i="17"/>
  <c r="F53" i="17"/>
  <c r="H53" i="17" s="1"/>
  <c r="J14" i="17"/>
  <c r="H49" i="17"/>
  <c r="J40" i="17"/>
  <c r="F26" i="17"/>
  <c r="F57" i="17"/>
  <c r="E46" i="17"/>
  <c r="F46" i="17" s="1"/>
  <c r="L61" i="17"/>
  <c r="L40" i="17"/>
  <c r="F681" i="18" l="1"/>
  <c r="K677" i="18"/>
  <c r="G698" i="18"/>
  <c r="H698" i="18" s="1"/>
  <c r="J211" i="18"/>
  <c r="J212" i="18" s="1"/>
  <c r="Q4" i="19" s="1"/>
  <c r="K1034" i="18"/>
  <c r="H1034" i="18"/>
  <c r="J702" i="18"/>
  <c r="Q12" i="19" s="1"/>
  <c r="K698" i="18"/>
  <c r="L1055" i="18"/>
  <c r="S15" i="19" s="1"/>
  <c r="X15" i="19" s="1"/>
  <c r="E44" i="17"/>
  <c r="G61" i="17" s="1"/>
  <c r="H61" i="17" s="1"/>
  <c r="F679" i="18"/>
  <c r="K1032" i="18"/>
  <c r="J772" i="18"/>
  <c r="Q13" i="19" s="1"/>
  <c r="E892" i="18"/>
  <c r="E913" i="18" s="1"/>
  <c r="G888" i="18" s="1"/>
  <c r="H888" i="18" s="1"/>
  <c r="E190" i="18"/>
  <c r="F190" i="18" s="1"/>
  <c r="E702" i="18"/>
  <c r="G677" i="18" s="1"/>
  <c r="H677" i="18" s="1"/>
  <c r="E1126" i="18"/>
  <c r="G1101" i="18" s="1"/>
  <c r="H1101" i="18" s="1"/>
  <c r="K1101" i="18"/>
  <c r="G1122" i="18"/>
  <c r="H1122" i="18" s="1"/>
  <c r="F1105" i="18"/>
  <c r="K1122" i="18"/>
  <c r="E333" i="18"/>
  <c r="E751" i="18"/>
  <c r="L745" i="18"/>
  <c r="L743" i="18"/>
  <c r="H764" i="18"/>
  <c r="L764" i="18" s="1"/>
  <c r="L749" i="18"/>
  <c r="F1326" i="18"/>
  <c r="F1324" i="18"/>
  <c r="L263" i="18"/>
  <c r="K263" i="18"/>
  <c r="H263" i="18"/>
  <c r="E402" i="18"/>
  <c r="L543" i="18"/>
  <c r="K543" i="18"/>
  <c r="H543" i="18"/>
  <c r="H968" i="18"/>
  <c r="H1240" i="18"/>
  <c r="H1322" i="18"/>
  <c r="K1244" i="18"/>
  <c r="H1244" i="18"/>
  <c r="K1242" i="18"/>
  <c r="L1244" i="18"/>
  <c r="H407" i="18"/>
  <c r="K186" i="18"/>
  <c r="E211" i="18"/>
  <c r="G186" i="18" s="1"/>
  <c r="H186" i="18" s="1"/>
  <c r="L110" i="18"/>
  <c r="L116" i="18"/>
  <c r="H131" i="18"/>
  <c r="L131" i="18" s="1"/>
  <c r="L112" i="18"/>
  <c r="E1315" i="18"/>
  <c r="H335" i="18"/>
  <c r="L335" i="18"/>
  <c r="K335" i="18"/>
  <c r="J1285" i="18"/>
  <c r="J1265" i="18"/>
  <c r="Q19" i="19" s="1"/>
  <c r="F1322" i="18"/>
  <c r="E44" i="18"/>
  <c r="L472" i="18"/>
  <c r="L493" i="18" s="1"/>
  <c r="S8" i="19" s="1"/>
  <c r="X8" i="19" s="1"/>
  <c r="H472" i="18"/>
  <c r="K470" i="18"/>
  <c r="K472" i="18"/>
  <c r="F470" i="18"/>
  <c r="K120" i="18"/>
  <c r="L120" i="18"/>
  <c r="H120" i="18"/>
  <c r="F1242" i="18"/>
  <c r="E261" i="18"/>
  <c r="K888" i="18"/>
  <c r="L822" i="18"/>
  <c r="L843" i="18" s="1"/>
  <c r="S16" i="19" s="1"/>
  <c r="H822" i="18"/>
  <c r="K820" i="18"/>
  <c r="K822" i="18"/>
  <c r="F820" i="18"/>
  <c r="H266" i="18"/>
  <c r="H546" i="18"/>
  <c r="H1318" i="18" s="1"/>
  <c r="J317" i="18"/>
  <c r="J354" i="18" s="1"/>
  <c r="J355" i="18" s="1"/>
  <c r="Q6" i="19" s="1"/>
  <c r="H243" i="18"/>
  <c r="J255" i="18"/>
  <c r="J253" i="18"/>
  <c r="K607" i="18"/>
  <c r="G628" i="18"/>
  <c r="H628" i="18" s="1"/>
  <c r="E632" i="18"/>
  <c r="G607" i="18" s="1"/>
  <c r="H607" i="18" s="1"/>
  <c r="F611" i="18"/>
  <c r="K628" i="18"/>
  <c r="K1175" i="18"/>
  <c r="H1175" i="18"/>
  <c r="K1173" i="18"/>
  <c r="F1173" i="18"/>
  <c r="L1175" i="18"/>
  <c r="L1196" i="18" s="1"/>
  <c r="S18" i="19" s="1"/>
  <c r="X18" i="19" s="1"/>
  <c r="H679" i="18"/>
  <c r="K675" i="18"/>
  <c r="F675" i="18"/>
  <c r="H675" i="18"/>
  <c r="H404" i="18"/>
  <c r="K404" i="18"/>
  <c r="L404" i="18"/>
  <c r="L753" i="18"/>
  <c r="H753" i="18"/>
  <c r="K753" i="18"/>
  <c r="H46" i="18"/>
  <c r="L46" i="18"/>
  <c r="K46" i="18"/>
  <c r="H195" i="18"/>
  <c r="L327" i="18"/>
  <c r="L331" i="18"/>
  <c r="L325" i="18"/>
  <c r="H346" i="18"/>
  <c r="L346" i="18" s="1"/>
  <c r="J110" i="18"/>
  <c r="H100" i="18"/>
  <c r="J112" i="18"/>
  <c r="K965" i="18"/>
  <c r="L965" i="18"/>
  <c r="H965" i="18"/>
  <c r="F1297" i="18"/>
  <c r="H876" i="18"/>
  <c r="J884" i="18"/>
  <c r="J886" i="18"/>
  <c r="H1324" i="18"/>
  <c r="J423" i="18"/>
  <c r="Q7" i="19" s="1"/>
  <c r="H338" i="18"/>
  <c r="E541" i="18"/>
  <c r="H1032" i="18"/>
  <c r="K1028" i="18"/>
  <c r="H1028" i="18"/>
  <c r="F1028" i="18"/>
  <c r="H1261" i="18"/>
  <c r="L192" i="18"/>
  <c r="K192" i="18"/>
  <c r="H192" i="18"/>
  <c r="E118" i="18"/>
  <c r="J1055" i="18"/>
  <c r="Q15" i="19" s="1"/>
  <c r="K1322" i="18"/>
  <c r="F1315" i="18"/>
  <c r="H1246" i="18"/>
  <c r="L1246" i="18"/>
  <c r="K1246" i="18"/>
  <c r="F1318" i="18"/>
  <c r="E963" i="18"/>
  <c r="K40" i="17"/>
  <c r="H26" i="17"/>
  <c r="J36" i="17"/>
  <c r="J38" i="17"/>
  <c r="K46" i="17"/>
  <c r="H46" i="17"/>
  <c r="L46" i="17"/>
  <c r="H57" i="17"/>
  <c r="L57" i="17" s="1"/>
  <c r="L42" i="17"/>
  <c r="L38" i="17"/>
  <c r="L36" i="17"/>
  <c r="X16" i="19" l="1"/>
  <c r="K61" i="17"/>
  <c r="K909" i="18"/>
  <c r="E65" i="17"/>
  <c r="G40" i="17" s="1"/>
  <c r="H40" i="17" s="1"/>
  <c r="F892" i="18"/>
  <c r="G207" i="18"/>
  <c r="H207" i="18" s="1"/>
  <c r="K679" i="18"/>
  <c r="H681" i="18"/>
  <c r="K681" i="18"/>
  <c r="L681" i="18"/>
  <c r="L702" i="18" s="1"/>
  <c r="S12" i="19" s="1"/>
  <c r="X12" i="19" s="1"/>
  <c r="W15" i="19"/>
  <c r="F44" i="17"/>
  <c r="F42" i="17" s="1"/>
  <c r="K207" i="18"/>
  <c r="G909" i="18"/>
  <c r="H909" i="18" s="1"/>
  <c r="H1326" i="18"/>
  <c r="L1326" i="18" s="1"/>
  <c r="L1315" i="18"/>
  <c r="K1315" i="18"/>
  <c r="K1026" i="18"/>
  <c r="K1055" i="18" s="1"/>
  <c r="R15" i="19" s="1"/>
  <c r="T15" i="19" s="1"/>
  <c r="V15" i="19" s="1"/>
  <c r="G1026" i="18"/>
  <c r="F1055" i="18"/>
  <c r="H1242" i="18"/>
  <c r="K1238" i="18"/>
  <c r="F1238" i="18"/>
  <c r="H1238" i="18"/>
  <c r="E61" i="18"/>
  <c r="G40" i="18" s="1"/>
  <c r="H40" i="18" s="1"/>
  <c r="G59" i="18"/>
  <c r="H59" i="18" s="1"/>
  <c r="F44" i="18"/>
  <c r="K40" i="18"/>
  <c r="K59" i="18"/>
  <c r="H190" i="18"/>
  <c r="K188" i="18"/>
  <c r="K190" i="18"/>
  <c r="L190" i="18"/>
  <c r="L211" i="18" s="1"/>
  <c r="S4" i="19" s="1"/>
  <c r="K1105" i="18"/>
  <c r="L1105" i="18"/>
  <c r="L1126" i="18" s="1"/>
  <c r="S17" i="19" s="1"/>
  <c r="X17" i="19" s="1"/>
  <c r="K1103" i="18"/>
  <c r="H1105" i="18"/>
  <c r="F1103" i="18"/>
  <c r="J1307" i="18"/>
  <c r="J1305" i="18"/>
  <c r="F188" i="18"/>
  <c r="K673" i="18"/>
  <c r="K702" i="18" s="1"/>
  <c r="R12" i="19" s="1"/>
  <c r="T12" i="19" s="1"/>
  <c r="V12" i="19" s="1"/>
  <c r="G673" i="18"/>
  <c r="F702" i="18"/>
  <c r="K747" i="18"/>
  <c r="G768" i="18"/>
  <c r="H768" i="18" s="1"/>
  <c r="F751" i="18"/>
  <c r="E772" i="18"/>
  <c r="G747" i="18" s="1"/>
  <c r="H747" i="18" s="1"/>
  <c r="K768" i="18"/>
  <c r="G135" i="18"/>
  <c r="H135" i="18" s="1"/>
  <c r="F118" i="18"/>
  <c r="K114" i="18"/>
  <c r="K135" i="18"/>
  <c r="E139" i="18"/>
  <c r="G114" i="18" s="1"/>
  <c r="H114" i="18" s="1"/>
  <c r="G558" i="18"/>
  <c r="H558" i="18" s="1"/>
  <c r="K537" i="18"/>
  <c r="F541" i="18"/>
  <c r="E562" i="18"/>
  <c r="G537" i="18" s="1"/>
  <c r="H537" i="18" s="1"/>
  <c r="K558" i="18"/>
  <c r="J876" i="18"/>
  <c r="J913" i="18" s="1"/>
  <c r="Q11" i="19" s="1"/>
  <c r="H1297" i="18"/>
  <c r="K892" i="18"/>
  <c r="L892" i="18"/>
  <c r="L913" i="18" s="1"/>
  <c r="S11" i="19" s="1"/>
  <c r="K890" i="18"/>
  <c r="H892" i="18"/>
  <c r="F890" i="18"/>
  <c r="L1307" i="18"/>
  <c r="L1305" i="18"/>
  <c r="L1311" i="18"/>
  <c r="H1173" i="18"/>
  <c r="K1169" i="18"/>
  <c r="F1169" i="18"/>
  <c r="H1169" i="18"/>
  <c r="E1313" i="18"/>
  <c r="G419" i="18"/>
  <c r="H419" i="18" s="1"/>
  <c r="K398" i="18"/>
  <c r="F402" i="18"/>
  <c r="E423" i="18"/>
  <c r="G398" i="18" s="1"/>
  <c r="H398" i="18" s="1"/>
  <c r="K419" i="18"/>
  <c r="G350" i="18"/>
  <c r="H350" i="18" s="1"/>
  <c r="K329" i="18"/>
  <c r="F333" i="18"/>
  <c r="E354" i="18"/>
  <c r="G329" i="18" s="1"/>
  <c r="H329" i="18" s="1"/>
  <c r="K350" i="18"/>
  <c r="H820" i="18"/>
  <c r="K816" i="18"/>
  <c r="H816" i="18"/>
  <c r="F816" i="18"/>
  <c r="G980" i="18"/>
  <c r="F963" i="18"/>
  <c r="K959" i="18"/>
  <c r="E984" i="18"/>
  <c r="G959" i="18" s="1"/>
  <c r="K980" i="18"/>
  <c r="H1315" i="18"/>
  <c r="J100" i="18"/>
  <c r="J139" i="18" s="1"/>
  <c r="L611" i="18"/>
  <c r="L632" i="18" s="1"/>
  <c r="S10" i="19" s="1"/>
  <c r="K611" i="18"/>
  <c r="K609" i="18"/>
  <c r="H611" i="18"/>
  <c r="F609" i="18"/>
  <c r="J243" i="18"/>
  <c r="J282" i="18" s="1"/>
  <c r="Q5" i="19" s="1"/>
  <c r="G278" i="18"/>
  <c r="H278" i="18" s="1"/>
  <c r="F261" i="18"/>
  <c r="K257" i="18"/>
  <c r="K278" i="18"/>
  <c r="E282" i="18"/>
  <c r="G257" i="18" s="1"/>
  <c r="H257" i="18" s="1"/>
  <c r="H470" i="18"/>
  <c r="K466" i="18"/>
  <c r="H466" i="18"/>
  <c r="F466" i="18"/>
  <c r="L1265" i="18"/>
  <c r="S19" i="19" s="1"/>
  <c r="X19" i="19" s="1"/>
  <c r="K38" i="17"/>
  <c r="H42" i="17"/>
  <c r="H38" i="17"/>
  <c r="F38" i="17"/>
  <c r="H44" i="17"/>
  <c r="L44" i="17"/>
  <c r="L65" i="17" s="1"/>
  <c r="K44" i="17"/>
  <c r="K42" i="17"/>
  <c r="J26" i="17"/>
  <c r="J65" i="17" s="1"/>
  <c r="X10" i="19" l="1"/>
  <c r="X4" i="19"/>
  <c r="J1334" i="18"/>
  <c r="Q3" i="19"/>
  <c r="X11" i="19"/>
  <c r="W12" i="19"/>
  <c r="L118" i="18"/>
  <c r="L139" i="18" s="1"/>
  <c r="S3" i="19" s="1"/>
  <c r="K118" i="18"/>
  <c r="H118" i="18"/>
  <c r="K116" i="18"/>
  <c r="F116" i="18"/>
  <c r="K1167" i="18"/>
  <c r="K1196" i="18" s="1"/>
  <c r="R18" i="19" s="1"/>
  <c r="F1196" i="18"/>
  <c r="G1167" i="18"/>
  <c r="H673" i="18"/>
  <c r="H702" i="18" s="1"/>
  <c r="G702" i="18"/>
  <c r="K886" i="18"/>
  <c r="H890" i="18"/>
  <c r="F886" i="18"/>
  <c r="H886" i="18"/>
  <c r="H1026" i="18"/>
  <c r="H1055" i="18" s="1"/>
  <c r="G1055" i="18"/>
  <c r="K605" i="18"/>
  <c r="H605" i="18"/>
  <c r="H609" i="18"/>
  <c r="F605" i="18"/>
  <c r="H333" i="18"/>
  <c r="K331" i="18"/>
  <c r="K333" i="18"/>
  <c r="L333" i="18"/>
  <c r="L354" i="18" s="1"/>
  <c r="S6" i="19" s="1"/>
  <c r="X6" i="19" s="1"/>
  <c r="F331" i="18"/>
  <c r="J1297" i="18"/>
  <c r="H541" i="18"/>
  <c r="K539" i="18"/>
  <c r="L541" i="18"/>
  <c r="L562" i="18" s="1"/>
  <c r="S9" i="19" s="1"/>
  <c r="K541" i="18"/>
  <c r="F539" i="18"/>
  <c r="H751" i="18"/>
  <c r="K749" i="18"/>
  <c r="K751" i="18"/>
  <c r="L751" i="18"/>
  <c r="L772" i="18" s="1"/>
  <c r="S13" i="19" s="1"/>
  <c r="F749" i="18"/>
  <c r="L963" i="18"/>
  <c r="L984" i="18" s="1"/>
  <c r="S14" i="19" s="1"/>
  <c r="K963" i="18"/>
  <c r="K961" i="18"/>
  <c r="H963" i="18"/>
  <c r="F961" i="18"/>
  <c r="H261" i="18"/>
  <c r="K259" i="18"/>
  <c r="L261" i="18"/>
  <c r="L282" i="18" s="1"/>
  <c r="S5" i="19" s="1"/>
  <c r="X5" i="19" s="1"/>
  <c r="K261" i="18"/>
  <c r="F259" i="18"/>
  <c r="H980" i="18"/>
  <c r="H1330" i="18" s="1"/>
  <c r="G1330" i="18"/>
  <c r="F1313" i="18"/>
  <c r="K464" i="18"/>
  <c r="K493" i="18" s="1"/>
  <c r="R8" i="19" s="1"/>
  <c r="F493" i="18"/>
  <c r="G464" i="18"/>
  <c r="H959" i="18"/>
  <c r="H1309" i="18" s="1"/>
  <c r="G1309" i="18"/>
  <c r="K814" i="18"/>
  <c r="K843" i="18" s="1"/>
  <c r="R16" i="19" s="1"/>
  <c r="G814" i="18"/>
  <c r="F843" i="18"/>
  <c r="K402" i="18"/>
  <c r="L402" i="18"/>
  <c r="L423" i="18" s="1"/>
  <c r="S7" i="19" s="1"/>
  <c r="X7" i="19" s="1"/>
  <c r="H402" i="18"/>
  <c r="K400" i="18"/>
  <c r="F400" i="18"/>
  <c r="K1309" i="18"/>
  <c r="E1334" i="18"/>
  <c r="K1330" i="18"/>
  <c r="H188" i="18"/>
  <c r="K184" i="18"/>
  <c r="H184" i="18"/>
  <c r="F184" i="18"/>
  <c r="K1099" i="18"/>
  <c r="H1103" i="18"/>
  <c r="F1099" i="18"/>
  <c r="H1099" i="18"/>
  <c r="L44" i="18"/>
  <c r="L61" i="18" s="1"/>
  <c r="J70" i="18" s="1"/>
  <c r="L70" i="18" s="1"/>
  <c r="K44" i="18"/>
  <c r="K42" i="18"/>
  <c r="H44" i="18"/>
  <c r="F42" i="18"/>
  <c r="K1236" i="18"/>
  <c r="K1265" i="18" s="1"/>
  <c r="R19" i="19" s="1"/>
  <c r="F1265" i="18"/>
  <c r="G1236" i="18"/>
  <c r="K36" i="17"/>
  <c r="K65" i="17" s="1"/>
  <c r="G36" i="17"/>
  <c r="F65" i="17"/>
  <c r="H1313" i="18" l="1"/>
  <c r="T19" i="19"/>
  <c r="V19" i="19" s="1"/>
  <c r="W19" i="19"/>
  <c r="W16" i="19"/>
  <c r="T16" i="19"/>
  <c r="V16" i="19" s="1"/>
  <c r="X13" i="19"/>
  <c r="Q21" i="19"/>
  <c r="T8" i="19"/>
  <c r="V8" i="19" s="1"/>
  <c r="W8" i="19"/>
  <c r="T18" i="19"/>
  <c r="V18" i="19" s="1"/>
  <c r="W18" i="19"/>
  <c r="X14" i="19"/>
  <c r="X9" i="19"/>
  <c r="X3" i="19"/>
  <c r="S21" i="19"/>
  <c r="H331" i="18"/>
  <c r="K327" i="18"/>
  <c r="H327" i="18"/>
  <c r="F327" i="18"/>
  <c r="K884" i="18"/>
  <c r="K913" i="18" s="1"/>
  <c r="R11" i="19" s="1"/>
  <c r="G884" i="18"/>
  <c r="F913" i="18"/>
  <c r="H1236" i="18"/>
  <c r="H1265" i="18" s="1"/>
  <c r="G1265" i="18"/>
  <c r="H42" i="18"/>
  <c r="H38" i="18" s="1"/>
  <c r="K38" i="18"/>
  <c r="F38" i="18"/>
  <c r="H400" i="18"/>
  <c r="K396" i="18"/>
  <c r="F396" i="18"/>
  <c r="H396" i="18"/>
  <c r="H259" i="18"/>
  <c r="K255" i="18"/>
  <c r="F255" i="18"/>
  <c r="H255" i="18"/>
  <c r="K535" i="18"/>
  <c r="H539" i="18"/>
  <c r="H535" i="18"/>
  <c r="F535" i="18"/>
  <c r="K603" i="18"/>
  <c r="K632" i="18" s="1"/>
  <c r="R10" i="19" s="1"/>
  <c r="F632" i="18"/>
  <c r="G603" i="18"/>
  <c r="H116" i="18"/>
  <c r="K112" i="18"/>
  <c r="F112" i="18"/>
  <c r="H112" i="18"/>
  <c r="L1334" i="18"/>
  <c r="K182" i="18"/>
  <c r="K211" i="18" s="1"/>
  <c r="R4" i="19" s="1"/>
  <c r="F211" i="18"/>
  <c r="G182" i="18"/>
  <c r="K1311" i="18"/>
  <c r="L1313" i="18"/>
  <c r="K1313" i="18"/>
  <c r="H961" i="18"/>
  <c r="K957" i="18"/>
  <c r="F957" i="18"/>
  <c r="H957" i="18"/>
  <c r="F1311" i="18"/>
  <c r="K1307" i="18" s="1"/>
  <c r="H1167" i="18"/>
  <c r="H1196" i="18" s="1"/>
  <c r="G1196" i="18"/>
  <c r="K1097" i="18"/>
  <c r="K1126" i="18" s="1"/>
  <c r="R17" i="19" s="1"/>
  <c r="F1126" i="18"/>
  <c r="G1097" i="18"/>
  <c r="H814" i="18"/>
  <c r="H843" i="18" s="1"/>
  <c r="G843" i="18"/>
  <c r="H464" i="18"/>
  <c r="H493" i="18" s="1"/>
  <c r="G493" i="18"/>
  <c r="H749" i="18"/>
  <c r="K745" i="18"/>
  <c r="F745" i="18"/>
  <c r="H745" i="18"/>
  <c r="H36" i="17"/>
  <c r="H65" i="17" s="1"/>
  <c r="G65" i="17"/>
  <c r="H1311" i="18" l="1"/>
  <c r="X21" i="19"/>
  <c r="T17" i="19"/>
  <c r="V17" i="19" s="1"/>
  <c r="W17" i="19"/>
  <c r="H1307" i="18"/>
  <c r="W4" i="19"/>
  <c r="T4" i="19"/>
  <c r="V4" i="19" s="1"/>
  <c r="W10" i="19"/>
  <c r="T10" i="19"/>
  <c r="V10" i="19" s="1"/>
  <c r="W11" i="19"/>
  <c r="T11" i="19"/>
  <c r="V11" i="19" s="1"/>
  <c r="H884" i="18"/>
  <c r="H913" i="18" s="1"/>
  <c r="G913" i="18"/>
  <c r="H1097" i="18"/>
  <c r="H1126" i="18" s="1"/>
  <c r="G1126" i="18"/>
  <c r="K533" i="18"/>
  <c r="K562" i="18" s="1"/>
  <c r="R9" i="19" s="1"/>
  <c r="G533" i="18"/>
  <c r="F562" i="18"/>
  <c r="K36" i="18"/>
  <c r="K61" i="18" s="1"/>
  <c r="G36" i="18"/>
  <c r="F61" i="18"/>
  <c r="H182" i="18"/>
  <c r="H211" i="18" s="1"/>
  <c r="G211" i="18"/>
  <c r="G632" i="18"/>
  <c r="H603" i="18"/>
  <c r="H632" i="18" s="1"/>
  <c r="K253" i="18"/>
  <c r="K282" i="18" s="1"/>
  <c r="R5" i="19" s="1"/>
  <c r="G253" i="18"/>
  <c r="F282" i="18"/>
  <c r="K394" i="18"/>
  <c r="K423" i="18" s="1"/>
  <c r="R7" i="19" s="1"/>
  <c r="G394" i="18"/>
  <c r="F423" i="18"/>
  <c r="K325" i="18"/>
  <c r="K354" i="18" s="1"/>
  <c r="R6" i="19" s="1"/>
  <c r="G325" i="18"/>
  <c r="F354" i="18"/>
  <c r="K955" i="18"/>
  <c r="K984" i="18" s="1"/>
  <c r="R14" i="19" s="1"/>
  <c r="G955" i="18"/>
  <c r="F984" i="18"/>
  <c r="F1307" i="18"/>
  <c r="K743" i="18"/>
  <c r="K772" i="18" s="1"/>
  <c r="R13" i="19" s="1"/>
  <c r="G743" i="18"/>
  <c r="F772" i="18"/>
  <c r="K110" i="18"/>
  <c r="K139" i="18" s="1"/>
  <c r="R3" i="19" s="1"/>
  <c r="G110" i="18"/>
  <c r="F139" i="18"/>
  <c r="W9" i="19" l="1"/>
  <c r="T9" i="19"/>
  <c r="V9" i="19" s="1"/>
  <c r="W13" i="19"/>
  <c r="T13" i="19"/>
  <c r="V13" i="19" s="1"/>
  <c r="W14" i="19"/>
  <c r="T14" i="19"/>
  <c r="V14" i="19" s="1"/>
  <c r="T7" i="19"/>
  <c r="V7" i="19" s="1"/>
  <c r="W7" i="19"/>
  <c r="W6" i="19"/>
  <c r="T6" i="19"/>
  <c r="V6" i="19" s="1"/>
  <c r="R21" i="19"/>
  <c r="T3" i="19"/>
  <c r="W3" i="19"/>
  <c r="W21" i="19" s="1"/>
  <c r="T5" i="19"/>
  <c r="V5" i="19" s="1"/>
  <c r="W5" i="19"/>
  <c r="H955" i="18"/>
  <c r="H984" i="18" s="1"/>
  <c r="G984" i="18"/>
  <c r="K1334" i="18"/>
  <c r="K1335" i="18" s="1"/>
  <c r="K1305" i="18"/>
  <c r="F1334" i="18"/>
  <c r="H253" i="18"/>
  <c r="H282" i="18" s="1"/>
  <c r="G282" i="18"/>
  <c r="L64" i="18"/>
  <c r="L66" i="18" s="1"/>
  <c r="J69" i="18"/>
  <c r="L69" i="18" s="1"/>
  <c r="H325" i="18"/>
  <c r="H354" i="18" s="1"/>
  <c r="G354" i="18"/>
  <c r="H394" i="18"/>
  <c r="H423" i="18" s="1"/>
  <c r="G423" i="18"/>
  <c r="H743" i="18"/>
  <c r="H772" i="18" s="1"/>
  <c r="G772" i="18"/>
  <c r="H533" i="18"/>
  <c r="H562" i="18" s="1"/>
  <c r="G562" i="18"/>
  <c r="H110" i="18"/>
  <c r="H139" i="18" s="1"/>
  <c r="G139" i="18"/>
  <c r="G1305" i="18"/>
  <c r="H36" i="18"/>
  <c r="H61" i="18" s="1"/>
  <c r="G61" i="18"/>
  <c r="V3" i="19" l="1"/>
  <c r="V21" i="19" s="1"/>
  <c r="T21" i="19"/>
  <c r="H1305" i="18"/>
  <c r="H1334" i="18" s="1"/>
  <c r="G1334" i="18"/>
  <c r="L1516" i="14" l="1"/>
  <c r="G1510" i="14"/>
  <c r="H1510" i="14" s="1"/>
  <c r="L1510" i="14" s="1"/>
  <c r="C1504" i="14"/>
  <c r="C1502" i="14"/>
  <c r="E1500" i="14"/>
  <c r="C1500" i="14"/>
  <c r="C1498" i="14"/>
  <c r="C1495" i="14"/>
  <c r="C1493" i="14"/>
  <c r="H1477" i="14"/>
  <c r="G1477" i="14"/>
  <c r="E1475" i="14"/>
  <c r="E1473" i="14"/>
  <c r="E1471" i="14"/>
  <c r="E1467" i="14"/>
  <c r="C1453" i="14"/>
  <c r="K1443" i="14"/>
  <c r="L1433" i="14"/>
  <c r="H1433" i="14"/>
  <c r="J1431" i="14"/>
  <c r="L1429" i="14"/>
  <c r="K1429" i="14"/>
  <c r="G1429" i="14"/>
  <c r="H1429" i="14" s="1"/>
  <c r="C1427" i="14"/>
  <c r="C1425" i="14"/>
  <c r="K1423" i="14"/>
  <c r="F1423" i="14"/>
  <c r="H1423" i="14" s="1"/>
  <c r="C1423" i="14"/>
  <c r="C1421" i="14"/>
  <c r="C1418" i="14"/>
  <c r="C1416" i="14"/>
  <c r="J1412" i="14"/>
  <c r="G1406" i="14"/>
  <c r="H1406" i="14" s="1"/>
  <c r="J1406" i="14" s="1"/>
  <c r="J1404" i="14"/>
  <c r="H1404" i="14"/>
  <c r="G1404" i="14"/>
  <c r="G1402" i="14"/>
  <c r="H1402" i="14" s="1"/>
  <c r="J1402" i="14" s="1"/>
  <c r="J1400" i="14"/>
  <c r="H1398" i="14"/>
  <c r="J1398" i="14" s="1"/>
  <c r="F1398" i="14"/>
  <c r="F1396" i="14"/>
  <c r="H1396" i="14" s="1"/>
  <c r="J1396" i="14" s="1"/>
  <c r="F1394" i="14"/>
  <c r="H1394" i="14" s="1"/>
  <c r="J1394" i="14" s="1"/>
  <c r="C1392" i="14"/>
  <c r="F1392" i="14" s="1"/>
  <c r="H1390" i="14"/>
  <c r="J1390" i="14" s="1"/>
  <c r="F1390" i="14"/>
  <c r="H1388" i="14"/>
  <c r="J1388" i="14" s="1"/>
  <c r="G1388" i="14"/>
  <c r="C1378" i="14"/>
  <c r="E1427" i="14" s="1"/>
  <c r="C1377" i="14"/>
  <c r="E1425" i="14" s="1"/>
  <c r="K1366" i="14"/>
  <c r="H1356" i="14"/>
  <c r="L1356" i="14" s="1"/>
  <c r="J1354" i="14"/>
  <c r="L1352" i="14"/>
  <c r="K1352" i="14"/>
  <c r="G1352" i="14"/>
  <c r="H1352" i="14" s="1"/>
  <c r="C1350" i="14"/>
  <c r="C1348" i="14"/>
  <c r="K1346" i="14"/>
  <c r="F1346" i="14"/>
  <c r="H1346" i="14" s="1"/>
  <c r="C1346" i="14"/>
  <c r="C1344" i="14"/>
  <c r="C1341" i="14"/>
  <c r="C1339" i="14"/>
  <c r="J1335" i="14"/>
  <c r="H1329" i="14"/>
  <c r="J1329" i="14" s="1"/>
  <c r="G1329" i="14"/>
  <c r="G1327" i="14"/>
  <c r="H1327" i="14" s="1"/>
  <c r="J1327" i="14" s="1"/>
  <c r="J1325" i="14"/>
  <c r="H1325" i="14"/>
  <c r="G1325" i="14"/>
  <c r="J1323" i="14"/>
  <c r="J1321" i="14"/>
  <c r="H1321" i="14"/>
  <c r="F1321" i="14"/>
  <c r="J1319" i="14"/>
  <c r="H1319" i="14"/>
  <c r="F1319" i="14"/>
  <c r="F1317" i="14"/>
  <c r="H1317" i="14" s="1"/>
  <c r="J1317" i="14" s="1"/>
  <c r="F1315" i="14"/>
  <c r="H1315" i="14" s="1"/>
  <c r="J1315" i="14" s="1"/>
  <c r="C1315" i="14"/>
  <c r="F1313" i="14"/>
  <c r="J1311" i="14"/>
  <c r="H1311" i="14"/>
  <c r="G1311" i="14"/>
  <c r="C1301" i="14"/>
  <c r="E1350" i="14" s="1"/>
  <c r="C1300" i="14"/>
  <c r="E1348" i="14" s="1"/>
  <c r="K1290" i="14"/>
  <c r="L1280" i="14"/>
  <c r="H1280" i="14"/>
  <c r="J1278" i="14"/>
  <c r="L1276" i="14"/>
  <c r="K1276" i="14"/>
  <c r="G1276" i="14"/>
  <c r="H1276" i="14" s="1"/>
  <c r="C1274" i="14"/>
  <c r="C1272" i="14"/>
  <c r="K1270" i="14"/>
  <c r="H1270" i="14"/>
  <c r="F1270" i="14"/>
  <c r="C1270" i="14"/>
  <c r="C1268" i="14"/>
  <c r="C1265" i="14"/>
  <c r="C1263" i="14"/>
  <c r="J1259" i="14"/>
  <c r="G1253" i="14"/>
  <c r="H1253" i="14" s="1"/>
  <c r="J1253" i="14" s="1"/>
  <c r="H1251" i="14"/>
  <c r="J1251" i="14" s="1"/>
  <c r="G1251" i="14"/>
  <c r="G1249" i="14"/>
  <c r="H1249" i="14" s="1"/>
  <c r="J1249" i="14" s="1"/>
  <c r="J1247" i="14"/>
  <c r="F1245" i="14"/>
  <c r="H1245" i="14" s="1"/>
  <c r="J1245" i="14" s="1"/>
  <c r="F1243" i="14"/>
  <c r="J1241" i="14"/>
  <c r="H1241" i="14"/>
  <c r="F1241" i="14"/>
  <c r="F1239" i="14"/>
  <c r="H1239" i="14" s="1"/>
  <c r="J1239" i="14" s="1"/>
  <c r="C1239" i="14"/>
  <c r="H1237" i="14"/>
  <c r="J1237" i="14" s="1"/>
  <c r="F1237" i="14"/>
  <c r="H1235" i="14"/>
  <c r="J1235" i="14" s="1"/>
  <c r="G1235" i="14"/>
  <c r="C1225" i="14"/>
  <c r="E1274" i="14" s="1"/>
  <c r="C1224" i="14"/>
  <c r="E1272" i="14" s="1"/>
  <c r="K1213" i="14"/>
  <c r="L1203" i="14"/>
  <c r="H1203" i="14"/>
  <c r="J1201" i="14"/>
  <c r="L1199" i="14"/>
  <c r="K1199" i="14"/>
  <c r="G1199" i="14"/>
  <c r="H1199" i="14" s="1"/>
  <c r="C1197" i="14"/>
  <c r="C1195" i="14"/>
  <c r="K1193" i="14"/>
  <c r="F1193" i="14"/>
  <c r="H1193" i="14" s="1"/>
  <c r="C1193" i="14"/>
  <c r="C1191" i="14"/>
  <c r="C1188" i="14"/>
  <c r="C1186" i="14"/>
  <c r="J1182" i="14"/>
  <c r="G1176" i="14"/>
  <c r="H1176" i="14" s="1"/>
  <c r="J1176" i="14" s="1"/>
  <c r="G1174" i="14"/>
  <c r="H1174" i="14" s="1"/>
  <c r="J1174" i="14" s="1"/>
  <c r="G1172" i="14"/>
  <c r="H1172" i="14" s="1"/>
  <c r="J1172" i="14" s="1"/>
  <c r="J1170" i="14"/>
  <c r="J1168" i="14"/>
  <c r="F1168" i="14"/>
  <c r="H1168" i="14" s="1"/>
  <c r="H1166" i="14"/>
  <c r="J1166" i="14" s="1"/>
  <c r="F1166" i="14"/>
  <c r="F1164" i="14"/>
  <c r="H1164" i="14" s="1"/>
  <c r="J1164" i="14" s="1"/>
  <c r="C1162" i="14"/>
  <c r="F1162" i="14" s="1"/>
  <c r="H1162" i="14" s="1"/>
  <c r="J1162" i="14" s="1"/>
  <c r="F1160" i="14"/>
  <c r="G1158" i="14"/>
  <c r="H1158" i="14" s="1"/>
  <c r="J1158" i="14" s="1"/>
  <c r="C1148" i="14"/>
  <c r="E1197" i="14" s="1"/>
  <c r="C1147" i="14"/>
  <c r="K1136" i="14"/>
  <c r="H1126" i="14"/>
  <c r="L1126" i="14" s="1"/>
  <c r="J1124" i="14"/>
  <c r="L1122" i="14"/>
  <c r="K1122" i="14"/>
  <c r="H1122" i="14"/>
  <c r="G1122" i="14"/>
  <c r="C1120" i="14"/>
  <c r="C1118" i="14"/>
  <c r="K1116" i="14"/>
  <c r="F1116" i="14"/>
  <c r="H1116" i="14" s="1"/>
  <c r="C1116" i="14"/>
  <c r="C1114" i="14"/>
  <c r="C1111" i="14"/>
  <c r="C1109" i="14"/>
  <c r="J1105" i="14"/>
  <c r="G1099" i="14"/>
  <c r="H1099" i="14" s="1"/>
  <c r="J1099" i="14" s="1"/>
  <c r="J1097" i="14"/>
  <c r="H1097" i="14"/>
  <c r="G1097" i="14"/>
  <c r="G1095" i="14"/>
  <c r="H1095" i="14" s="1"/>
  <c r="J1095" i="14" s="1"/>
  <c r="J1093" i="14"/>
  <c r="F1091" i="14"/>
  <c r="H1091" i="14" s="1"/>
  <c r="J1091" i="14" s="1"/>
  <c r="F1089" i="14"/>
  <c r="H1089" i="14" s="1"/>
  <c r="J1089" i="14" s="1"/>
  <c r="J1087" i="14"/>
  <c r="F1087" i="14"/>
  <c r="H1087" i="14" s="1"/>
  <c r="H1085" i="14"/>
  <c r="J1085" i="14" s="1"/>
  <c r="C1085" i="14"/>
  <c r="F1085" i="14" s="1"/>
  <c r="H1083" i="14"/>
  <c r="F1083" i="14"/>
  <c r="G1081" i="14"/>
  <c r="H1081" i="14" s="1"/>
  <c r="C1071" i="14"/>
  <c r="E1120" i="14" s="1"/>
  <c r="C1070" i="14"/>
  <c r="E1118" i="14" s="1"/>
  <c r="K1118" i="14" s="1"/>
  <c r="K1059" i="14"/>
  <c r="H1049" i="14"/>
  <c r="L1049" i="14" s="1"/>
  <c r="J1047" i="14"/>
  <c r="L1045" i="14"/>
  <c r="K1045" i="14"/>
  <c r="G1045" i="14"/>
  <c r="H1045" i="14" s="1"/>
  <c r="C1043" i="14"/>
  <c r="C1041" i="14"/>
  <c r="K1039" i="14"/>
  <c r="F1039" i="14"/>
  <c r="H1039" i="14" s="1"/>
  <c r="C1039" i="14"/>
  <c r="C1037" i="14"/>
  <c r="C1034" i="14"/>
  <c r="C1032" i="14"/>
  <c r="J1028" i="14"/>
  <c r="G1022" i="14"/>
  <c r="H1022" i="14" s="1"/>
  <c r="J1022" i="14" s="1"/>
  <c r="G1020" i="14"/>
  <c r="H1020" i="14" s="1"/>
  <c r="J1020" i="14" s="1"/>
  <c r="J1018" i="14"/>
  <c r="G1018" i="14"/>
  <c r="H1018" i="14" s="1"/>
  <c r="J1016" i="14"/>
  <c r="F1014" i="14"/>
  <c r="H1014" i="14" s="1"/>
  <c r="J1014" i="14" s="1"/>
  <c r="H1012" i="14"/>
  <c r="J1012" i="14" s="1"/>
  <c r="F1012" i="14"/>
  <c r="F1010" i="14"/>
  <c r="H1010" i="14" s="1"/>
  <c r="J1010" i="14" s="1"/>
  <c r="H1008" i="14"/>
  <c r="J1008" i="14" s="1"/>
  <c r="F1008" i="14"/>
  <c r="C1008" i="14"/>
  <c r="F1006" i="14"/>
  <c r="G1004" i="14"/>
  <c r="C994" i="14"/>
  <c r="E1043" i="14" s="1"/>
  <c r="C993" i="14"/>
  <c r="E1037" i="14" s="1"/>
  <c r="K1037" i="14" s="1"/>
  <c r="K982" i="14"/>
  <c r="H972" i="14"/>
  <c r="L972" i="14" s="1"/>
  <c r="J970" i="14"/>
  <c r="L968" i="14"/>
  <c r="K968" i="14"/>
  <c r="H968" i="14"/>
  <c r="G968" i="14"/>
  <c r="C966" i="14"/>
  <c r="C964" i="14"/>
  <c r="K962" i="14"/>
  <c r="F962" i="14"/>
  <c r="H962" i="14" s="1"/>
  <c r="C962" i="14"/>
  <c r="C960" i="14"/>
  <c r="C957" i="14"/>
  <c r="C955" i="14"/>
  <c r="J951" i="14"/>
  <c r="G945" i="14"/>
  <c r="H945" i="14" s="1"/>
  <c r="J945" i="14" s="1"/>
  <c r="H943" i="14"/>
  <c r="J943" i="14" s="1"/>
  <c r="G943" i="14"/>
  <c r="G941" i="14"/>
  <c r="H941" i="14" s="1"/>
  <c r="J941" i="14" s="1"/>
  <c r="J939" i="14"/>
  <c r="F937" i="14"/>
  <c r="H937" i="14" s="1"/>
  <c r="J937" i="14" s="1"/>
  <c r="F935" i="14"/>
  <c r="H935" i="14" s="1"/>
  <c r="J935" i="14" s="1"/>
  <c r="F933" i="14"/>
  <c r="H933" i="14" s="1"/>
  <c r="J933" i="14" s="1"/>
  <c r="H931" i="14"/>
  <c r="J931" i="14" s="1"/>
  <c r="F931" i="14"/>
  <c r="C931" i="14"/>
  <c r="H929" i="14"/>
  <c r="F929" i="14"/>
  <c r="J949" i="14" s="1"/>
  <c r="G927" i="14"/>
  <c r="C917" i="14"/>
  <c r="E966" i="14" s="1"/>
  <c r="F966" i="14" s="1"/>
  <c r="C916" i="14"/>
  <c r="E964" i="14" s="1"/>
  <c r="K905" i="14"/>
  <c r="H895" i="14"/>
  <c r="L895" i="14" s="1"/>
  <c r="J893" i="14"/>
  <c r="L891" i="14"/>
  <c r="K891" i="14"/>
  <c r="G891" i="14"/>
  <c r="H891" i="14" s="1"/>
  <c r="L889" i="14"/>
  <c r="C889" i="14"/>
  <c r="C887" i="14"/>
  <c r="K885" i="14"/>
  <c r="F885" i="14"/>
  <c r="H885" i="14" s="1"/>
  <c r="C885" i="14"/>
  <c r="C883" i="14"/>
  <c r="C880" i="14"/>
  <c r="C878" i="14"/>
  <c r="J874" i="14"/>
  <c r="G868" i="14"/>
  <c r="H868" i="14" s="1"/>
  <c r="J868" i="14" s="1"/>
  <c r="G866" i="14"/>
  <c r="H866" i="14" s="1"/>
  <c r="J866" i="14" s="1"/>
  <c r="G864" i="14"/>
  <c r="H864" i="14" s="1"/>
  <c r="J864" i="14" s="1"/>
  <c r="J862" i="14"/>
  <c r="F860" i="14"/>
  <c r="H860" i="14" s="1"/>
  <c r="J860" i="14" s="1"/>
  <c r="H858" i="14"/>
  <c r="J858" i="14" s="1"/>
  <c r="F858" i="14"/>
  <c r="F856" i="14"/>
  <c r="H856" i="14" s="1"/>
  <c r="J856" i="14" s="1"/>
  <c r="C854" i="14"/>
  <c r="F854" i="14" s="1"/>
  <c r="H854" i="14" s="1"/>
  <c r="J854" i="14" s="1"/>
  <c r="F852" i="14"/>
  <c r="G850" i="14"/>
  <c r="H850" i="14" s="1"/>
  <c r="J850" i="14" s="1"/>
  <c r="C840" i="14"/>
  <c r="E889" i="14" s="1"/>
  <c r="C839" i="14"/>
  <c r="E883" i="14" s="1"/>
  <c r="K883" i="14" s="1"/>
  <c r="K829" i="14"/>
  <c r="H819" i="14"/>
  <c r="L819" i="14" s="1"/>
  <c r="J817" i="14"/>
  <c r="L815" i="14"/>
  <c r="K815" i="14"/>
  <c r="G815" i="14"/>
  <c r="H815" i="14" s="1"/>
  <c r="C813" i="14"/>
  <c r="C811" i="14"/>
  <c r="K809" i="14"/>
  <c r="F809" i="14"/>
  <c r="H809" i="14" s="1"/>
  <c r="C809" i="14"/>
  <c r="C807" i="14"/>
  <c r="C804" i="14"/>
  <c r="C802" i="14"/>
  <c r="J798" i="14"/>
  <c r="G792" i="14"/>
  <c r="H792" i="14" s="1"/>
  <c r="J792" i="14" s="1"/>
  <c r="H790" i="14"/>
  <c r="J790" i="14" s="1"/>
  <c r="G790" i="14"/>
  <c r="G788" i="14"/>
  <c r="H788" i="14" s="1"/>
  <c r="J788" i="14" s="1"/>
  <c r="J786" i="14"/>
  <c r="F784" i="14"/>
  <c r="H784" i="14" s="1"/>
  <c r="J784" i="14" s="1"/>
  <c r="J782" i="14"/>
  <c r="H782" i="14"/>
  <c r="F782" i="14"/>
  <c r="J780" i="14"/>
  <c r="H780" i="14"/>
  <c r="F780" i="14"/>
  <c r="F778" i="14"/>
  <c r="H778" i="14" s="1"/>
  <c r="J778" i="14" s="1"/>
  <c r="C778" i="14"/>
  <c r="H776" i="14"/>
  <c r="J776" i="14" s="1"/>
  <c r="F776" i="14"/>
  <c r="G774" i="14"/>
  <c r="H774" i="14" s="1"/>
  <c r="C764" i="14"/>
  <c r="E813" i="14" s="1"/>
  <c r="C763" i="14"/>
  <c r="E811" i="14" s="1"/>
  <c r="F811" i="14" s="1"/>
  <c r="H811" i="14" s="1"/>
  <c r="K753" i="14"/>
  <c r="L743" i="14"/>
  <c r="H743" i="14"/>
  <c r="J741" i="14"/>
  <c r="L739" i="14"/>
  <c r="K739" i="14"/>
  <c r="G739" i="14"/>
  <c r="H739" i="14" s="1"/>
  <c r="C737" i="14"/>
  <c r="C735" i="14"/>
  <c r="K733" i="14"/>
  <c r="H733" i="14"/>
  <c r="F733" i="14"/>
  <c r="C733" i="14"/>
  <c r="C731" i="14"/>
  <c r="C728" i="14"/>
  <c r="C726" i="14"/>
  <c r="J722" i="14"/>
  <c r="G716" i="14"/>
  <c r="H716" i="14" s="1"/>
  <c r="J716" i="14" s="1"/>
  <c r="H714" i="14"/>
  <c r="J714" i="14" s="1"/>
  <c r="G714" i="14"/>
  <c r="G712" i="14"/>
  <c r="H712" i="14" s="1"/>
  <c r="J712" i="14" s="1"/>
  <c r="J710" i="14"/>
  <c r="F708" i="14"/>
  <c r="F706" i="14"/>
  <c r="H706" i="14" s="1"/>
  <c r="J706" i="14" s="1"/>
  <c r="J704" i="14"/>
  <c r="H704" i="14"/>
  <c r="F704" i="14"/>
  <c r="H702" i="14"/>
  <c r="J702" i="14" s="1"/>
  <c r="F702" i="14"/>
  <c r="C702" i="14"/>
  <c r="F700" i="14"/>
  <c r="H700" i="14" s="1"/>
  <c r="G698" i="14"/>
  <c r="H698" i="14" s="1"/>
  <c r="C688" i="14"/>
  <c r="E737" i="14" s="1"/>
  <c r="C687" i="14"/>
  <c r="E735" i="14" s="1"/>
  <c r="K677" i="14"/>
  <c r="L667" i="14"/>
  <c r="H667" i="14"/>
  <c r="J665" i="14"/>
  <c r="L663" i="14"/>
  <c r="K663" i="14"/>
  <c r="H663" i="14"/>
  <c r="G663" i="14"/>
  <c r="C661" i="14"/>
  <c r="C659" i="14"/>
  <c r="K657" i="14"/>
  <c r="F657" i="14"/>
  <c r="H657" i="14" s="1"/>
  <c r="C657" i="14"/>
  <c r="C655" i="14"/>
  <c r="C652" i="14"/>
  <c r="C650" i="14"/>
  <c r="J646" i="14"/>
  <c r="G640" i="14"/>
  <c r="H640" i="14" s="1"/>
  <c r="J640" i="14" s="1"/>
  <c r="G638" i="14"/>
  <c r="H638" i="14" s="1"/>
  <c r="J638" i="14" s="1"/>
  <c r="J636" i="14"/>
  <c r="H636" i="14"/>
  <c r="G636" i="14"/>
  <c r="J634" i="14"/>
  <c r="J632" i="14"/>
  <c r="H632" i="14"/>
  <c r="F632" i="14"/>
  <c r="H630" i="14"/>
  <c r="J630" i="14" s="1"/>
  <c r="F630" i="14"/>
  <c r="F628" i="14"/>
  <c r="H628" i="14" s="1"/>
  <c r="J628" i="14" s="1"/>
  <c r="C626" i="14"/>
  <c r="F626" i="14" s="1"/>
  <c r="J624" i="14"/>
  <c r="H624" i="14"/>
  <c r="F624" i="14"/>
  <c r="H622" i="14"/>
  <c r="J622" i="14" s="1"/>
  <c r="G622" i="14"/>
  <c r="C612" i="14"/>
  <c r="E661" i="14" s="1"/>
  <c r="C611" i="14"/>
  <c r="E659" i="14" s="1"/>
  <c r="K601" i="14"/>
  <c r="H591" i="14"/>
  <c r="L591" i="14" s="1"/>
  <c r="J589" i="14"/>
  <c r="L587" i="14"/>
  <c r="K587" i="14"/>
  <c r="H587" i="14"/>
  <c r="G587" i="14"/>
  <c r="C585" i="14"/>
  <c r="C583" i="14"/>
  <c r="K581" i="14"/>
  <c r="H581" i="14"/>
  <c r="F581" i="14"/>
  <c r="C581" i="14"/>
  <c r="C579" i="14"/>
  <c r="C576" i="14"/>
  <c r="C574" i="14"/>
  <c r="J570" i="14"/>
  <c r="H564" i="14"/>
  <c r="J564" i="14" s="1"/>
  <c r="G564" i="14"/>
  <c r="G562" i="14"/>
  <c r="H562" i="14" s="1"/>
  <c r="J562" i="14" s="1"/>
  <c r="G560" i="14"/>
  <c r="H560" i="14" s="1"/>
  <c r="J560" i="14" s="1"/>
  <c r="J558" i="14"/>
  <c r="F556" i="14"/>
  <c r="J554" i="14"/>
  <c r="H554" i="14"/>
  <c r="F554" i="14"/>
  <c r="H552" i="14"/>
  <c r="J552" i="14" s="1"/>
  <c r="F552" i="14"/>
  <c r="C550" i="14"/>
  <c r="F550" i="14" s="1"/>
  <c r="H550" i="14" s="1"/>
  <c r="J550" i="14" s="1"/>
  <c r="H548" i="14"/>
  <c r="F548" i="14"/>
  <c r="G546" i="14"/>
  <c r="C536" i="14"/>
  <c r="E585" i="14" s="1"/>
  <c r="C535" i="14"/>
  <c r="E583" i="14" s="1"/>
  <c r="K525" i="14"/>
  <c r="H515" i="14"/>
  <c r="L515" i="14" s="1"/>
  <c r="J513" i="14"/>
  <c r="L511" i="14"/>
  <c r="K511" i="14"/>
  <c r="H511" i="14"/>
  <c r="G511" i="14"/>
  <c r="C509" i="14"/>
  <c r="C507" i="14"/>
  <c r="K505" i="14"/>
  <c r="F505" i="14"/>
  <c r="H505" i="14" s="1"/>
  <c r="C505" i="14"/>
  <c r="C503" i="14"/>
  <c r="C500" i="14"/>
  <c r="C498" i="14"/>
  <c r="J494" i="14"/>
  <c r="G488" i="14"/>
  <c r="H488" i="14" s="1"/>
  <c r="J488" i="14" s="1"/>
  <c r="G486" i="14"/>
  <c r="H486" i="14" s="1"/>
  <c r="J486" i="14" s="1"/>
  <c r="J484" i="14"/>
  <c r="H484" i="14"/>
  <c r="G484" i="14"/>
  <c r="J482" i="14"/>
  <c r="J480" i="14"/>
  <c r="H480" i="14"/>
  <c r="F480" i="14"/>
  <c r="F478" i="14"/>
  <c r="H478" i="14" s="1"/>
  <c r="J478" i="14" s="1"/>
  <c r="F476" i="14"/>
  <c r="H476" i="14" s="1"/>
  <c r="J476" i="14" s="1"/>
  <c r="C474" i="14"/>
  <c r="F474" i="14" s="1"/>
  <c r="H472" i="14"/>
  <c r="J472" i="14" s="1"/>
  <c r="F472" i="14"/>
  <c r="G470" i="14"/>
  <c r="H470" i="14" s="1"/>
  <c r="J470" i="14" s="1"/>
  <c r="C460" i="14"/>
  <c r="E509" i="14" s="1"/>
  <c r="C459" i="14"/>
  <c r="E503" i="14" s="1"/>
  <c r="K503" i="14" s="1"/>
  <c r="K449" i="14"/>
  <c r="H439" i="14"/>
  <c r="L439" i="14" s="1"/>
  <c r="J437" i="14"/>
  <c r="L435" i="14"/>
  <c r="K435" i="14"/>
  <c r="H435" i="14"/>
  <c r="G435" i="14"/>
  <c r="C433" i="14"/>
  <c r="C431" i="14"/>
  <c r="K429" i="14"/>
  <c r="H429" i="14"/>
  <c r="F429" i="14"/>
  <c r="C429" i="14"/>
  <c r="C427" i="14"/>
  <c r="C424" i="14"/>
  <c r="H422" i="14"/>
  <c r="F422" i="14"/>
  <c r="C422" i="14"/>
  <c r="J418" i="14"/>
  <c r="G412" i="14"/>
  <c r="H412" i="14" s="1"/>
  <c r="J412" i="14" s="1"/>
  <c r="G410" i="14"/>
  <c r="H410" i="14" s="1"/>
  <c r="J410" i="14" s="1"/>
  <c r="J408" i="14"/>
  <c r="H408" i="14"/>
  <c r="G408" i="14"/>
  <c r="J406" i="14"/>
  <c r="J404" i="14"/>
  <c r="H404" i="14"/>
  <c r="F404" i="14"/>
  <c r="H402" i="14"/>
  <c r="J402" i="14" s="1"/>
  <c r="F402" i="14"/>
  <c r="F400" i="14"/>
  <c r="H400" i="14" s="1"/>
  <c r="J400" i="14" s="1"/>
  <c r="C398" i="14"/>
  <c r="F398" i="14" s="1"/>
  <c r="H398" i="14" s="1"/>
  <c r="J398" i="14" s="1"/>
  <c r="F396" i="14"/>
  <c r="G394" i="14"/>
  <c r="H394" i="14" s="1"/>
  <c r="J394" i="14" s="1"/>
  <c r="C384" i="14"/>
  <c r="E433" i="14" s="1"/>
  <c r="F433" i="14" s="1"/>
  <c r="C383" i="14"/>
  <c r="K373" i="14"/>
  <c r="H363" i="14"/>
  <c r="L363" i="14" s="1"/>
  <c r="J361" i="14"/>
  <c r="L359" i="14"/>
  <c r="K359" i="14"/>
  <c r="H359" i="14"/>
  <c r="G359" i="14"/>
  <c r="C357" i="14"/>
  <c r="C355" i="14"/>
  <c r="K353" i="14"/>
  <c r="H353" i="14"/>
  <c r="F353" i="14"/>
  <c r="C353" i="14"/>
  <c r="C351" i="14"/>
  <c r="C348" i="14"/>
  <c r="C346" i="14"/>
  <c r="J342" i="14"/>
  <c r="G336" i="14"/>
  <c r="H336" i="14" s="1"/>
  <c r="J336" i="14" s="1"/>
  <c r="G334" i="14"/>
  <c r="H334" i="14" s="1"/>
  <c r="J334" i="14" s="1"/>
  <c r="G332" i="14"/>
  <c r="H332" i="14" s="1"/>
  <c r="J332" i="14" s="1"/>
  <c r="J330" i="14"/>
  <c r="F328" i="14"/>
  <c r="H328" i="14" s="1"/>
  <c r="J328" i="14" s="1"/>
  <c r="F326" i="14"/>
  <c r="F324" i="14"/>
  <c r="H324" i="14" s="1"/>
  <c r="J324" i="14" s="1"/>
  <c r="H322" i="14"/>
  <c r="J322" i="14" s="1"/>
  <c r="F322" i="14"/>
  <c r="C322" i="14"/>
  <c r="F320" i="14"/>
  <c r="H320" i="14" s="1"/>
  <c r="J320" i="14" s="1"/>
  <c r="G318" i="14"/>
  <c r="H318" i="14" s="1"/>
  <c r="C308" i="14"/>
  <c r="E357" i="14" s="1"/>
  <c r="L342" i="14" s="1"/>
  <c r="C307" i="14"/>
  <c r="E355" i="14" s="1"/>
  <c r="K296" i="14"/>
  <c r="L286" i="14"/>
  <c r="H286" i="14"/>
  <c r="J284" i="14"/>
  <c r="L282" i="14"/>
  <c r="K282" i="14"/>
  <c r="G282" i="14"/>
  <c r="H282" i="14" s="1"/>
  <c r="C280" i="14"/>
  <c r="C278" i="14"/>
  <c r="K276" i="14"/>
  <c r="F276" i="14"/>
  <c r="H276" i="14" s="1"/>
  <c r="C276" i="14"/>
  <c r="C274" i="14"/>
  <c r="C271" i="14"/>
  <c r="C269" i="14"/>
  <c r="J265" i="14"/>
  <c r="G259" i="14"/>
  <c r="H259" i="14" s="1"/>
  <c r="J259" i="14" s="1"/>
  <c r="G257" i="14"/>
  <c r="H257" i="14" s="1"/>
  <c r="J257" i="14" s="1"/>
  <c r="G255" i="14"/>
  <c r="H255" i="14" s="1"/>
  <c r="J255" i="14" s="1"/>
  <c r="J253" i="14"/>
  <c r="F251" i="14"/>
  <c r="H251" i="14" s="1"/>
  <c r="J251" i="14" s="1"/>
  <c r="H249" i="14"/>
  <c r="J249" i="14" s="1"/>
  <c r="F249" i="14"/>
  <c r="F247" i="14"/>
  <c r="H247" i="14" s="1"/>
  <c r="J247" i="14" s="1"/>
  <c r="C245" i="14"/>
  <c r="F245" i="14" s="1"/>
  <c r="F243" i="14"/>
  <c r="G241" i="14"/>
  <c r="H241" i="14" s="1"/>
  <c r="J241" i="14" s="1"/>
  <c r="C231" i="14"/>
  <c r="E280" i="14" s="1"/>
  <c r="C230" i="14"/>
  <c r="E278" i="14" s="1"/>
  <c r="K220" i="14"/>
  <c r="H210" i="14"/>
  <c r="L210" i="14" s="1"/>
  <c r="J208" i="14"/>
  <c r="L206" i="14"/>
  <c r="K206" i="14"/>
  <c r="H206" i="14"/>
  <c r="G206" i="14"/>
  <c r="C204" i="14"/>
  <c r="C202" i="14"/>
  <c r="K200" i="14"/>
  <c r="H200" i="14"/>
  <c r="F200" i="14"/>
  <c r="C200" i="14"/>
  <c r="K198" i="14"/>
  <c r="E198" i="14"/>
  <c r="F198" i="14" s="1"/>
  <c r="C198" i="14"/>
  <c r="C195" i="14"/>
  <c r="C193" i="14"/>
  <c r="J189" i="14"/>
  <c r="G183" i="14"/>
  <c r="H183" i="14" s="1"/>
  <c r="J183" i="14" s="1"/>
  <c r="G181" i="14"/>
  <c r="H181" i="14" s="1"/>
  <c r="J181" i="14" s="1"/>
  <c r="G179" i="14"/>
  <c r="H179" i="14" s="1"/>
  <c r="J179" i="14" s="1"/>
  <c r="J177" i="14"/>
  <c r="F175" i="14"/>
  <c r="H175" i="14" s="1"/>
  <c r="J175" i="14" s="1"/>
  <c r="F173" i="14"/>
  <c r="H173" i="14" s="1"/>
  <c r="J173" i="14" s="1"/>
  <c r="J171" i="14"/>
  <c r="H171" i="14"/>
  <c r="F171" i="14"/>
  <c r="H169" i="14"/>
  <c r="J169" i="14" s="1"/>
  <c r="F169" i="14"/>
  <c r="C169" i="14"/>
  <c r="F167" i="14"/>
  <c r="H167" i="14" s="1"/>
  <c r="J167" i="14" s="1"/>
  <c r="G165" i="14"/>
  <c r="H165" i="14" s="1"/>
  <c r="C155" i="14"/>
  <c r="E204" i="14" s="1"/>
  <c r="C154" i="14"/>
  <c r="E202" i="14" s="1"/>
  <c r="K144" i="14"/>
  <c r="L134" i="14"/>
  <c r="H134" i="14"/>
  <c r="J132" i="14"/>
  <c r="L130" i="14"/>
  <c r="L1506" i="14" s="1"/>
  <c r="K130" i="14"/>
  <c r="G130" i="14"/>
  <c r="C128" i="14"/>
  <c r="C126" i="14"/>
  <c r="K124" i="14"/>
  <c r="F124" i="14"/>
  <c r="C124" i="14"/>
  <c r="C122" i="14"/>
  <c r="C119" i="14"/>
  <c r="C117" i="14"/>
  <c r="J113" i="14"/>
  <c r="G107" i="14"/>
  <c r="G105" i="14"/>
  <c r="G103" i="14"/>
  <c r="H103" i="14" s="1"/>
  <c r="J103" i="14" s="1"/>
  <c r="J101" i="14"/>
  <c r="F99" i="14"/>
  <c r="H99" i="14" s="1"/>
  <c r="J99" i="14" s="1"/>
  <c r="H97" i="14"/>
  <c r="F97" i="14"/>
  <c r="F95" i="14"/>
  <c r="C93" i="14"/>
  <c r="F93" i="14" s="1"/>
  <c r="F91" i="14"/>
  <c r="G89" i="14"/>
  <c r="H89" i="14" s="1"/>
  <c r="J89" i="14" s="1"/>
  <c r="C79" i="14"/>
  <c r="C78" i="14"/>
  <c r="L65" i="14"/>
  <c r="K69" i="14" s="1"/>
  <c r="J59" i="14"/>
  <c r="L57" i="14"/>
  <c r="K57" i="14"/>
  <c r="H57" i="14"/>
  <c r="G57" i="14"/>
  <c r="C55" i="14"/>
  <c r="C53" i="14"/>
  <c r="K51" i="14"/>
  <c r="H51" i="14"/>
  <c r="F51" i="14"/>
  <c r="C51" i="14"/>
  <c r="C49" i="14"/>
  <c r="C46" i="14"/>
  <c r="C44" i="14"/>
  <c r="C61" i="14" s="1"/>
  <c r="J40" i="14"/>
  <c r="G34" i="14"/>
  <c r="H34" i="14" s="1"/>
  <c r="J34" i="14" s="1"/>
  <c r="G32" i="14"/>
  <c r="H32" i="14" s="1"/>
  <c r="J32" i="14" s="1"/>
  <c r="G30" i="14"/>
  <c r="H30" i="14" s="1"/>
  <c r="J30" i="14" s="1"/>
  <c r="J28" i="14"/>
  <c r="F26" i="14"/>
  <c r="H26" i="14" s="1"/>
  <c r="J26" i="14" s="1"/>
  <c r="F24" i="14"/>
  <c r="H24" i="14" s="1"/>
  <c r="J24" i="14" s="1"/>
  <c r="J22" i="14"/>
  <c r="H22" i="14"/>
  <c r="F22" i="14"/>
  <c r="H20" i="14"/>
  <c r="J20" i="14" s="1"/>
  <c r="F20" i="14"/>
  <c r="G18" i="14"/>
  <c r="H18" i="14" s="1"/>
  <c r="C8" i="14"/>
  <c r="E55" i="14" s="1"/>
  <c r="C7" i="14"/>
  <c r="E53" i="14" s="1"/>
  <c r="L798" i="14" l="1"/>
  <c r="L817" i="14"/>
  <c r="F813" i="14"/>
  <c r="L800" i="14" s="1"/>
  <c r="J340" i="14"/>
  <c r="F1471" i="14"/>
  <c r="J1489" i="14"/>
  <c r="J1508" i="14"/>
  <c r="F503" i="14"/>
  <c r="H503" i="14" s="1"/>
  <c r="J568" i="14"/>
  <c r="J794" i="14"/>
  <c r="J1026" i="14"/>
  <c r="J1103" i="14"/>
  <c r="E1114" i="14"/>
  <c r="F1114" i="14" s="1"/>
  <c r="H1114" i="14" s="1"/>
  <c r="E1268" i="14"/>
  <c r="C1454" i="14"/>
  <c r="F1473" i="14"/>
  <c r="F1500" i="14"/>
  <c r="G1506" i="14"/>
  <c r="F357" i="14"/>
  <c r="L340" i="14" s="1"/>
  <c r="L966" i="14"/>
  <c r="E1421" i="14"/>
  <c r="F1421" i="14" s="1"/>
  <c r="E49" i="14"/>
  <c r="K49" i="14" s="1"/>
  <c r="C1455" i="14"/>
  <c r="F1467" i="14"/>
  <c r="J1477" i="14"/>
  <c r="G1481" i="14"/>
  <c r="K1506" i="14"/>
  <c r="J720" i="14"/>
  <c r="E960" i="14"/>
  <c r="G1483" i="14"/>
  <c r="K53" i="14"/>
  <c r="F53" i="14"/>
  <c r="H53" i="14" s="1"/>
  <c r="F204" i="14"/>
  <c r="L208" i="14"/>
  <c r="E195" i="14"/>
  <c r="F195" i="14" s="1"/>
  <c r="L189" i="14"/>
  <c r="L204" i="14"/>
  <c r="H245" i="14"/>
  <c r="J245" i="14" s="1"/>
  <c r="E44" i="14"/>
  <c r="K59" i="14" s="1"/>
  <c r="F55" i="14"/>
  <c r="L59" i="14"/>
  <c r="E46" i="14"/>
  <c r="F46" i="14" s="1"/>
  <c r="L40" i="14"/>
  <c r="L55" i="14"/>
  <c r="K422" i="14"/>
  <c r="J165" i="14"/>
  <c r="L414" i="14"/>
  <c r="H433" i="14"/>
  <c r="L420" i="14"/>
  <c r="L416" i="14"/>
  <c r="J18" i="14"/>
  <c r="F1469" i="14"/>
  <c r="H93" i="14"/>
  <c r="F278" i="14"/>
  <c r="H278" i="14" s="1"/>
  <c r="K278" i="14"/>
  <c r="K202" i="14"/>
  <c r="F202" i="14"/>
  <c r="H202" i="14" s="1"/>
  <c r="H198" i="14"/>
  <c r="L284" i="14"/>
  <c r="L265" i="14"/>
  <c r="L280" i="14"/>
  <c r="F280" i="14"/>
  <c r="J318" i="14"/>
  <c r="F49" i="14"/>
  <c r="G1465" i="14"/>
  <c r="H91" i="14"/>
  <c r="F1475" i="14"/>
  <c r="G1479" i="14"/>
  <c r="H105" i="14"/>
  <c r="J111" i="14"/>
  <c r="K1500" i="14"/>
  <c r="H130" i="14"/>
  <c r="H1506" i="14" s="1"/>
  <c r="K1520" i="14"/>
  <c r="H243" i="14"/>
  <c r="J263" i="14"/>
  <c r="F355" i="14"/>
  <c r="H355" i="14" s="1"/>
  <c r="H326" i="14"/>
  <c r="J326" i="14" s="1"/>
  <c r="E351" i="14"/>
  <c r="K355" i="14"/>
  <c r="E507" i="14"/>
  <c r="E500" i="14" s="1"/>
  <c r="K659" i="14"/>
  <c r="F659" i="14"/>
  <c r="H659" i="14" s="1"/>
  <c r="J644" i="14"/>
  <c r="H626" i="14"/>
  <c r="J626" i="14" s="1"/>
  <c r="K735" i="14"/>
  <c r="F735" i="14"/>
  <c r="H735" i="14" s="1"/>
  <c r="J36" i="14"/>
  <c r="H1475" i="14"/>
  <c r="H1479" i="14"/>
  <c r="E122" i="14"/>
  <c r="J185" i="14"/>
  <c r="E274" i="14"/>
  <c r="E271" i="14" s="1"/>
  <c r="F271" i="14" s="1"/>
  <c r="L361" i="14"/>
  <c r="E348" i="14"/>
  <c r="F348" i="14" s="1"/>
  <c r="L357" i="14"/>
  <c r="L338" i="14"/>
  <c r="E346" i="14"/>
  <c r="L418" i="14"/>
  <c r="L422" i="14"/>
  <c r="E424" i="14"/>
  <c r="J492" i="14"/>
  <c r="H474" i="14"/>
  <c r="J474" i="14" s="1"/>
  <c r="F583" i="14"/>
  <c r="H583" i="14" s="1"/>
  <c r="K583" i="14"/>
  <c r="L661" i="14"/>
  <c r="F661" i="14"/>
  <c r="L665" i="14"/>
  <c r="L646" i="14"/>
  <c r="F737" i="14"/>
  <c r="L741" i="14"/>
  <c r="L737" i="14"/>
  <c r="L722" i="14"/>
  <c r="J38" i="14"/>
  <c r="J1479" i="14"/>
  <c r="E126" i="14"/>
  <c r="J187" i="14"/>
  <c r="E431" i="14"/>
  <c r="E427" i="14"/>
  <c r="J414" i="14"/>
  <c r="F509" i="14"/>
  <c r="L513" i="14"/>
  <c r="L494" i="14"/>
  <c r="L509" i="14"/>
  <c r="F585" i="14"/>
  <c r="L589" i="14"/>
  <c r="E576" i="14"/>
  <c r="F576" i="14" s="1"/>
  <c r="L570" i="14"/>
  <c r="L585" i="14"/>
  <c r="J698" i="14"/>
  <c r="H95" i="14"/>
  <c r="J97" i="14"/>
  <c r="H107" i="14"/>
  <c r="J109" i="14"/>
  <c r="H124" i="14"/>
  <c r="H1500" i="14" s="1"/>
  <c r="E128" i="14"/>
  <c r="J261" i="14"/>
  <c r="J338" i="14"/>
  <c r="L344" i="14"/>
  <c r="H357" i="14"/>
  <c r="L437" i="14"/>
  <c r="L433" i="14"/>
  <c r="J416" i="14"/>
  <c r="H396" i="14"/>
  <c r="J490" i="14"/>
  <c r="H546" i="14"/>
  <c r="J548" i="14"/>
  <c r="H556" i="14"/>
  <c r="J556" i="14" s="1"/>
  <c r="E579" i="14"/>
  <c r="J642" i="14"/>
  <c r="J700" i="14"/>
  <c r="H708" i="14"/>
  <c r="J708" i="14" s="1"/>
  <c r="E731" i="14"/>
  <c r="J796" i="14"/>
  <c r="F889" i="14"/>
  <c r="L893" i="14"/>
  <c r="L874" i="14"/>
  <c r="J872" i="14"/>
  <c r="H927" i="14"/>
  <c r="J774" i="14"/>
  <c r="J821" i="14" s="1"/>
  <c r="L813" i="14"/>
  <c r="J566" i="14"/>
  <c r="E655" i="14"/>
  <c r="J718" i="14"/>
  <c r="L796" i="14"/>
  <c r="H813" i="14"/>
  <c r="L794" i="14"/>
  <c r="F883" i="14"/>
  <c r="F964" i="14"/>
  <c r="J929" i="14"/>
  <c r="K964" i="14"/>
  <c r="K811" i="14"/>
  <c r="E887" i="14"/>
  <c r="H966" i="14"/>
  <c r="L953" i="14"/>
  <c r="L949" i="14"/>
  <c r="L947" i="14"/>
  <c r="F1043" i="14"/>
  <c r="L1028" i="14"/>
  <c r="L1043" i="14"/>
  <c r="L1047" i="14"/>
  <c r="E807" i="14"/>
  <c r="J870" i="14"/>
  <c r="H1006" i="14"/>
  <c r="L1120" i="14"/>
  <c r="L1124" i="14"/>
  <c r="E1111" i="14"/>
  <c r="F1111" i="14" s="1"/>
  <c r="L1105" i="14"/>
  <c r="E1109" i="14"/>
  <c r="K1114" i="14"/>
  <c r="F1120" i="14"/>
  <c r="E1195" i="14"/>
  <c r="E1191" i="14"/>
  <c r="H852" i="14"/>
  <c r="H1004" i="14"/>
  <c r="J1024" i="14"/>
  <c r="F1037" i="14"/>
  <c r="E1041" i="14"/>
  <c r="E1034" i="14" s="1"/>
  <c r="F1034" i="14" s="1"/>
  <c r="J1083" i="14"/>
  <c r="F1197" i="14"/>
  <c r="L1201" i="14"/>
  <c r="L1182" i="14"/>
  <c r="L1197" i="14"/>
  <c r="L970" i="14"/>
  <c r="E957" i="14"/>
  <c r="F957" i="14" s="1"/>
  <c r="J947" i="14"/>
  <c r="L951" i="14"/>
  <c r="J1081" i="14"/>
  <c r="K1124" i="14"/>
  <c r="F1118" i="14"/>
  <c r="H1118" i="14" s="1"/>
  <c r="J1101" i="14"/>
  <c r="H1243" i="14"/>
  <c r="J1243" i="14" s="1"/>
  <c r="J1257" i="14"/>
  <c r="F1268" i="14"/>
  <c r="K1268" i="14"/>
  <c r="F1348" i="14"/>
  <c r="H1348" i="14" s="1"/>
  <c r="K1348" i="14"/>
  <c r="L1427" i="14"/>
  <c r="F1427" i="14"/>
  <c r="L1431" i="14"/>
  <c r="E1418" i="14"/>
  <c r="F1418" i="14" s="1"/>
  <c r="L1412" i="14"/>
  <c r="F1350" i="14"/>
  <c r="L1354" i="14"/>
  <c r="L1335" i="14"/>
  <c r="L1350" i="14"/>
  <c r="J1333" i="14"/>
  <c r="H1313" i="14"/>
  <c r="J1331" i="14"/>
  <c r="J1178" i="14"/>
  <c r="F1272" i="14"/>
  <c r="H1272" i="14" s="1"/>
  <c r="K1272" i="14"/>
  <c r="J1410" i="14"/>
  <c r="H1392" i="14"/>
  <c r="J1392" i="14" s="1"/>
  <c r="H1421" i="14"/>
  <c r="H1160" i="14"/>
  <c r="J1180" i="14"/>
  <c r="L1274" i="14"/>
  <c r="F1274" i="14"/>
  <c r="L1278" i="14"/>
  <c r="E1265" i="14"/>
  <c r="F1265" i="14" s="1"/>
  <c r="L1259" i="14"/>
  <c r="K1425" i="14"/>
  <c r="F1425" i="14"/>
  <c r="H1425" i="14" s="1"/>
  <c r="J1255" i="14"/>
  <c r="J1282" i="14" s="1"/>
  <c r="E1344" i="14"/>
  <c r="E1341" i="14" s="1"/>
  <c r="F1341" i="14" s="1"/>
  <c r="J1408" i="14"/>
  <c r="K1421" i="14"/>
  <c r="F500" i="14" l="1"/>
  <c r="E498" i="14"/>
  <c r="E802" i="14"/>
  <c r="K798" i="14" s="1"/>
  <c r="J669" i="14"/>
  <c r="E880" i="14"/>
  <c r="F880" i="14" s="1"/>
  <c r="J1435" i="14"/>
  <c r="E1188" i="14"/>
  <c r="F1188" i="14" s="1"/>
  <c r="L1188" i="14" s="1"/>
  <c r="E804" i="14"/>
  <c r="F804" i="14" s="1"/>
  <c r="J1475" i="14"/>
  <c r="J517" i="14"/>
  <c r="K960" i="14"/>
  <c r="F960" i="14"/>
  <c r="H960" i="14" s="1"/>
  <c r="H1034" i="14"/>
  <c r="L1034" i="14"/>
  <c r="K1034" i="14"/>
  <c r="L271" i="14"/>
  <c r="K271" i="14"/>
  <c r="H271" i="14"/>
  <c r="L1341" i="14"/>
  <c r="K1341" i="14"/>
  <c r="H1341" i="14"/>
  <c r="L1337" i="14"/>
  <c r="L1333" i="14"/>
  <c r="H1350" i="14"/>
  <c r="L1331" i="14"/>
  <c r="E1032" i="14"/>
  <c r="J1128" i="14"/>
  <c r="H1037" i="14"/>
  <c r="J852" i="14"/>
  <c r="J897" i="14" s="1"/>
  <c r="H1043" i="14"/>
  <c r="L1024" i="14"/>
  <c r="L1030" i="14"/>
  <c r="L1026" i="14"/>
  <c r="H883" i="14"/>
  <c r="J927" i="14"/>
  <c r="J974" i="14" s="1"/>
  <c r="L1257" i="14"/>
  <c r="L1261" i="14"/>
  <c r="L1255" i="14"/>
  <c r="H1274" i="14"/>
  <c r="L1410" i="14"/>
  <c r="H1427" i="14"/>
  <c r="L1408" i="14"/>
  <c r="L1414" i="14"/>
  <c r="K1111" i="14"/>
  <c r="L1111" i="14"/>
  <c r="H1111" i="14"/>
  <c r="E955" i="14"/>
  <c r="F807" i="14"/>
  <c r="K807" i="14"/>
  <c r="K887" i="14"/>
  <c r="F887" i="14"/>
  <c r="H887" i="14" s="1"/>
  <c r="F655" i="14"/>
  <c r="K655" i="14"/>
  <c r="E1504" i="14"/>
  <c r="L132" i="14"/>
  <c r="L1508" i="14" s="1"/>
  <c r="E119" i="14"/>
  <c r="L113" i="14"/>
  <c r="L1489" i="14" s="1"/>
  <c r="L128" i="14"/>
  <c r="L1504" i="14" s="1"/>
  <c r="F128" i="14"/>
  <c r="J1473" i="14"/>
  <c r="J745" i="14"/>
  <c r="L572" i="14"/>
  <c r="L568" i="14"/>
  <c r="H585" i="14"/>
  <c r="L566" i="14"/>
  <c r="H500" i="14"/>
  <c r="L500" i="14"/>
  <c r="K500" i="14"/>
  <c r="F431" i="14"/>
  <c r="H431" i="14" s="1"/>
  <c r="K437" i="14"/>
  <c r="K431" i="14"/>
  <c r="E652" i="14"/>
  <c r="J1487" i="14"/>
  <c r="H1467" i="14"/>
  <c r="J91" i="14"/>
  <c r="L267" i="14"/>
  <c r="L263" i="14"/>
  <c r="H280" i="14"/>
  <c r="L261" i="14"/>
  <c r="J61" i="14"/>
  <c r="H46" i="14"/>
  <c r="L46" i="14"/>
  <c r="K46" i="14"/>
  <c r="E193" i="14"/>
  <c r="K1265" i="14"/>
  <c r="L1265" i="14"/>
  <c r="H1265" i="14"/>
  <c r="K1344" i="14"/>
  <c r="F1344" i="14"/>
  <c r="J1160" i="14"/>
  <c r="J1205" i="14" s="1"/>
  <c r="E1339" i="14"/>
  <c r="E1416" i="14"/>
  <c r="K1354" i="14"/>
  <c r="H1268" i="14"/>
  <c r="J1004" i="14"/>
  <c r="K1191" i="14"/>
  <c r="F1191" i="14"/>
  <c r="E1128" i="14"/>
  <c r="G1105" i="14" s="1"/>
  <c r="H1105" i="14" s="1"/>
  <c r="F1109" i="14"/>
  <c r="F1107" i="14" s="1"/>
  <c r="K1105" i="14"/>
  <c r="G1124" i="14"/>
  <c r="H1124" i="14" s="1"/>
  <c r="K804" i="14"/>
  <c r="H804" i="14"/>
  <c r="L804" i="14"/>
  <c r="H880" i="14"/>
  <c r="L880" i="14"/>
  <c r="K880" i="14"/>
  <c r="J396" i="14"/>
  <c r="J441" i="14" s="1"/>
  <c r="H1471" i="14"/>
  <c r="J95" i="14"/>
  <c r="J1471" i="14" s="1"/>
  <c r="H1473" i="14"/>
  <c r="H737" i="14"/>
  <c r="L724" i="14"/>
  <c r="L720" i="14"/>
  <c r="L718" i="14"/>
  <c r="F274" i="14"/>
  <c r="K274" i="14"/>
  <c r="K507" i="14"/>
  <c r="F507" i="14"/>
  <c r="K513" i="14"/>
  <c r="F351" i="14"/>
  <c r="K351" i="14"/>
  <c r="H1481" i="14"/>
  <c r="J105" i="14"/>
  <c r="J1481" i="14" s="1"/>
  <c r="J365" i="14"/>
  <c r="E269" i="14"/>
  <c r="H1469" i="14"/>
  <c r="J93" i="14"/>
  <c r="J1469" i="14" s="1"/>
  <c r="H195" i="14"/>
  <c r="L195" i="14"/>
  <c r="K195" i="14"/>
  <c r="F1195" i="14"/>
  <c r="H1195" i="14" s="1"/>
  <c r="K1195" i="14"/>
  <c r="H964" i="14"/>
  <c r="F802" i="14"/>
  <c r="K731" i="14"/>
  <c r="F731" i="14"/>
  <c r="J1485" i="14"/>
  <c r="L576" i="14"/>
  <c r="K576" i="14"/>
  <c r="H576" i="14"/>
  <c r="H509" i="14"/>
  <c r="L490" i="14"/>
  <c r="L496" i="14"/>
  <c r="L492" i="14"/>
  <c r="E1502" i="14"/>
  <c r="F126" i="14"/>
  <c r="K126" i="14"/>
  <c r="E728" i="14"/>
  <c r="F728" i="14" s="1"/>
  <c r="L644" i="14"/>
  <c r="H661" i="14"/>
  <c r="L642" i="14"/>
  <c r="L648" i="14"/>
  <c r="E441" i="14"/>
  <c r="G418" i="14" s="1"/>
  <c r="H418" i="14" s="1"/>
  <c r="F424" i="14"/>
  <c r="K418" i="14"/>
  <c r="G361" i="14"/>
  <c r="H361" i="14" s="1"/>
  <c r="E365" i="14"/>
  <c r="G342" i="14" s="1"/>
  <c r="H342" i="14" s="1"/>
  <c r="F346" i="14"/>
  <c r="K342" i="14"/>
  <c r="J243" i="14"/>
  <c r="J288" i="14" s="1"/>
  <c r="H55" i="14"/>
  <c r="L36" i="14"/>
  <c r="L42" i="14"/>
  <c r="L38" i="14"/>
  <c r="K1418" i="14"/>
  <c r="H1418" i="14"/>
  <c r="L1418" i="14"/>
  <c r="K1041" i="14"/>
  <c r="K1047" i="14"/>
  <c r="F1041" i="14"/>
  <c r="H1041" i="14" s="1"/>
  <c r="E1263" i="14"/>
  <c r="J1313" i="14"/>
  <c r="J1358" i="14" s="1"/>
  <c r="L957" i="14"/>
  <c r="K957" i="14"/>
  <c r="H957" i="14"/>
  <c r="H1197" i="14"/>
  <c r="L1184" i="14"/>
  <c r="L1178" i="14"/>
  <c r="L1180" i="14"/>
  <c r="L1103" i="14"/>
  <c r="L1107" i="14"/>
  <c r="H1120" i="14"/>
  <c r="L1101" i="14"/>
  <c r="J1006" i="14"/>
  <c r="H889" i="14"/>
  <c r="L876" i="14"/>
  <c r="L870" i="14"/>
  <c r="L872" i="14"/>
  <c r="K579" i="14"/>
  <c r="F579" i="14"/>
  <c r="J546" i="14"/>
  <c r="H1483" i="14"/>
  <c r="J107" i="14"/>
  <c r="J1483" i="14" s="1"/>
  <c r="E574" i="14"/>
  <c r="G513" i="14"/>
  <c r="H513" i="14" s="1"/>
  <c r="E517" i="14"/>
  <c r="G494" i="14" s="1"/>
  <c r="H494" i="14" s="1"/>
  <c r="F498" i="14"/>
  <c r="K494" i="14"/>
  <c r="G437" i="14"/>
  <c r="H437" i="14" s="1"/>
  <c r="F427" i="14"/>
  <c r="K427" i="14"/>
  <c r="K589" i="14"/>
  <c r="L348" i="14"/>
  <c r="K348" i="14"/>
  <c r="H348" i="14"/>
  <c r="E1498" i="14"/>
  <c r="F122" i="14"/>
  <c r="K122" i="14"/>
  <c r="H1465" i="14"/>
  <c r="K361" i="14"/>
  <c r="H49" i="14"/>
  <c r="J212" i="14"/>
  <c r="E61" i="14"/>
  <c r="G40" i="14" s="1"/>
  <c r="H40" i="14" s="1"/>
  <c r="G59" i="14"/>
  <c r="H59" i="14" s="1"/>
  <c r="F44" i="14"/>
  <c r="K40" i="14"/>
  <c r="H204" i="14"/>
  <c r="L185" i="14"/>
  <c r="L191" i="14"/>
  <c r="L187" i="14"/>
  <c r="K1502" i="14" l="1"/>
  <c r="E821" i="14"/>
  <c r="G798" i="14" s="1"/>
  <c r="H798" i="14" s="1"/>
  <c r="K1188" i="14"/>
  <c r="E878" i="14"/>
  <c r="G817" i="14"/>
  <c r="H817" i="14" s="1"/>
  <c r="J1051" i="14"/>
  <c r="K817" i="14"/>
  <c r="E1186" i="14"/>
  <c r="K1201" i="14" s="1"/>
  <c r="H1188" i="14"/>
  <c r="H1107" i="14"/>
  <c r="K1103" i="14"/>
  <c r="F1103" i="14"/>
  <c r="G589" i="14"/>
  <c r="H589" i="14" s="1"/>
  <c r="E593" i="14"/>
  <c r="G570" i="14" s="1"/>
  <c r="H570" i="14" s="1"/>
  <c r="F574" i="14"/>
  <c r="K570" i="14"/>
  <c r="J593" i="14"/>
  <c r="J1465" i="14"/>
  <c r="F1502" i="14"/>
  <c r="H126" i="14"/>
  <c r="H1191" i="14"/>
  <c r="G1354" i="14"/>
  <c r="H1354" i="14" s="1"/>
  <c r="E1358" i="14"/>
  <c r="G1335" i="14" s="1"/>
  <c r="H1335" i="14" s="1"/>
  <c r="F1339" i="14"/>
  <c r="K1335" i="14"/>
  <c r="G208" i="14"/>
  <c r="H208" i="14" s="1"/>
  <c r="E212" i="14"/>
  <c r="G189" i="14" s="1"/>
  <c r="H189" i="14" s="1"/>
  <c r="F193" i="14"/>
  <c r="K189" i="14"/>
  <c r="K208" i="14"/>
  <c r="F1504" i="14"/>
  <c r="L115" i="14"/>
  <c r="L1491" i="14" s="1"/>
  <c r="L111" i="14"/>
  <c r="L1487" i="14" s="1"/>
  <c r="H128" i="14"/>
  <c r="H1504" i="14" s="1"/>
  <c r="L109" i="14"/>
  <c r="E1495" i="14"/>
  <c r="F119" i="14"/>
  <c r="H655" i="14"/>
  <c r="H807" i="14"/>
  <c r="F800" i="14"/>
  <c r="E1282" i="14"/>
  <c r="G1259" i="14" s="1"/>
  <c r="H1259" i="14" s="1"/>
  <c r="F1263" i="14"/>
  <c r="K1259" i="14"/>
  <c r="G1278" i="14"/>
  <c r="H1278" i="14" s="1"/>
  <c r="K1278" i="14"/>
  <c r="L44" i="14"/>
  <c r="L61" i="14" s="1"/>
  <c r="J70" i="14" s="1"/>
  <c r="L70" i="14" s="1"/>
  <c r="K44" i="14"/>
  <c r="H44" i="14"/>
  <c r="K42" i="14"/>
  <c r="F42" i="14"/>
  <c r="K1498" i="14"/>
  <c r="L498" i="14"/>
  <c r="L517" i="14" s="1"/>
  <c r="J526" i="14" s="1"/>
  <c r="L526" i="14" s="1"/>
  <c r="K498" i="14"/>
  <c r="H498" i="14"/>
  <c r="K496" i="14"/>
  <c r="F572" i="14"/>
  <c r="H579" i="14"/>
  <c r="L728" i="14"/>
  <c r="K728" i="14"/>
  <c r="H728" i="14"/>
  <c r="H351" i="14"/>
  <c r="F344" i="14"/>
  <c r="J1467" i="14"/>
  <c r="J136" i="14"/>
  <c r="E117" i="14"/>
  <c r="G970" i="14"/>
  <c r="H970" i="14" s="1"/>
  <c r="E974" i="14"/>
  <c r="G951" i="14" s="1"/>
  <c r="H951" i="14" s="1"/>
  <c r="F955" i="14"/>
  <c r="K951" i="14"/>
  <c r="K970" i="14"/>
  <c r="F1498" i="14"/>
  <c r="H122" i="14"/>
  <c r="F420" i="14"/>
  <c r="K420" i="14"/>
  <c r="H427" i="14"/>
  <c r="H731" i="14"/>
  <c r="K800" i="14"/>
  <c r="L802" i="14"/>
  <c r="L821" i="14" s="1"/>
  <c r="J830" i="14" s="1"/>
  <c r="L830" i="14" s="1"/>
  <c r="K802" i="14"/>
  <c r="H802" i="14"/>
  <c r="H274" i="14"/>
  <c r="K1107" i="14"/>
  <c r="H1109" i="14"/>
  <c r="L1109" i="14"/>
  <c r="L1128" i="14" s="1"/>
  <c r="J1137" i="14" s="1"/>
  <c r="L1137" i="14" s="1"/>
  <c r="K1109" i="14"/>
  <c r="F652" i="14"/>
  <c r="E650" i="14"/>
  <c r="E1051" i="14"/>
  <c r="G1028" i="14" s="1"/>
  <c r="H1028" i="14" s="1"/>
  <c r="K1028" i="14"/>
  <c r="G1047" i="14"/>
  <c r="H1047" i="14" s="1"/>
  <c r="F1032" i="14"/>
  <c r="F1030" i="14" s="1"/>
  <c r="H346" i="14"/>
  <c r="K344" i="14"/>
  <c r="L346" i="14"/>
  <c r="L365" i="14" s="1"/>
  <c r="J374" i="14" s="1"/>
  <c r="L374" i="14" s="1"/>
  <c r="K346" i="14"/>
  <c r="K424" i="14"/>
  <c r="H424" i="14"/>
  <c r="L424" i="14"/>
  <c r="L441" i="14" s="1"/>
  <c r="J450" i="14" s="1"/>
  <c r="L450" i="14" s="1"/>
  <c r="G284" i="14"/>
  <c r="H284" i="14" s="1"/>
  <c r="E288" i="14"/>
  <c r="G265" i="14" s="1"/>
  <c r="H265" i="14" s="1"/>
  <c r="F269" i="14"/>
  <c r="K265" i="14"/>
  <c r="K284" i="14"/>
  <c r="H507" i="14"/>
  <c r="F496" i="14"/>
  <c r="E1435" i="14"/>
  <c r="G1412" i="14" s="1"/>
  <c r="H1412" i="14" s="1"/>
  <c r="F1416" i="14"/>
  <c r="K1412" i="14"/>
  <c r="G1431" i="14"/>
  <c r="H1431" i="14" s="1"/>
  <c r="K1431" i="14"/>
  <c r="F1337" i="14"/>
  <c r="H1344" i="14"/>
  <c r="E726" i="14"/>
  <c r="E1205" i="14"/>
  <c r="G1182" i="14" s="1"/>
  <c r="H1182" i="14" s="1"/>
  <c r="F1186" i="14"/>
  <c r="K893" i="14" l="1"/>
  <c r="E897" i="14"/>
  <c r="G874" i="14" s="1"/>
  <c r="H874" i="14" s="1"/>
  <c r="G893" i="14"/>
  <c r="H893" i="14" s="1"/>
  <c r="F878" i="14"/>
  <c r="K874" i="14"/>
  <c r="G1201" i="14"/>
  <c r="H1201" i="14" s="1"/>
  <c r="K1182" i="14"/>
  <c r="L1032" i="14"/>
  <c r="L1051" i="14" s="1"/>
  <c r="J1060" i="14" s="1"/>
  <c r="L1060" i="14" s="1"/>
  <c r="K1032" i="14"/>
  <c r="H1032" i="14"/>
  <c r="K1030" i="14"/>
  <c r="K652" i="14"/>
  <c r="H652" i="14"/>
  <c r="L652" i="14"/>
  <c r="H572" i="14"/>
  <c r="K568" i="14"/>
  <c r="F568" i="14"/>
  <c r="K1261" i="14"/>
  <c r="K1263" i="14"/>
  <c r="H1263" i="14"/>
  <c r="L1263" i="14"/>
  <c r="L1282" i="14" s="1"/>
  <c r="J1291" i="14" s="1"/>
  <c r="L1291" i="14" s="1"/>
  <c r="F1261" i="14"/>
  <c r="L1485" i="14"/>
  <c r="H1103" i="14"/>
  <c r="K1186" i="14"/>
  <c r="H1186" i="14"/>
  <c r="L1186" i="14"/>
  <c r="L1205" i="14" s="1"/>
  <c r="J1214" i="14" s="1"/>
  <c r="L1214" i="14" s="1"/>
  <c r="K1184" i="14"/>
  <c r="G741" i="14"/>
  <c r="H741" i="14" s="1"/>
  <c r="E745" i="14"/>
  <c r="G722" i="14" s="1"/>
  <c r="H722" i="14" s="1"/>
  <c r="F726" i="14"/>
  <c r="K722" i="14"/>
  <c r="K741" i="14"/>
  <c r="H496" i="14"/>
  <c r="H492" i="14" s="1"/>
  <c r="K492" i="14"/>
  <c r="F492" i="14"/>
  <c r="H269" i="14"/>
  <c r="K267" i="14"/>
  <c r="L269" i="14"/>
  <c r="L288" i="14" s="1"/>
  <c r="J297" i="14" s="1"/>
  <c r="L297" i="14" s="1"/>
  <c r="K269" i="14"/>
  <c r="F267" i="14"/>
  <c r="H1498" i="14"/>
  <c r="H344" i="14"/>
  <c r="H340" i="14" s="1"/>
  <c r="K340" i="14"/>
  <c r="F340" i="14"/>
  <c r="L193" i="14"/>
  <c r="L212" i="14" s="1"/>
  <c r="J221" i="14" s="1"/>
  <c r="L221" i="14" s="1"/>
  <c r="K193" i="14"/>
  <c r="H193" i="14"/>
  <c r="K191" i="14"/>
  <c r="F191" i="14"/>
  <c r="K1339" i="14"/>
  <c r="H1339" i="14"/>
  <c r="K1337" i="14"/>
  <c r="L1339" i="14"/>
  <c r="L1358" i="14" s="1"/>
  <c r="J1367" i="14" s="1"/>
  <c r="L1367" i="14" s="1"/>
  <c r="F1184" i="14"/>
  <c r="H1502" i="14"/>
  <c r="K574" i="14"/>
  <c r="H574" i="14"/>
  <c r="K572" i="14"/>
  <c r="L574" i="14"/>
  <c r="L593" i="14" s="1"/>
  <c r="J602" i="14" s="1"/>
  <c r="L602" i="14" s="1"/>
  <c r="H1337" i="14"/>
  <c r="H1333" i="14" s="1"/>
  <c r="K1333" i="14"/>
  <c r="F1333" i="14"/>
  <c r="K1414" i="14"/>
  <c r="L1416" i="14"/>
  <c r="L1435" i="14" s="1"/>
  <c r="J1444" i="14" s="1"/>
  <c r="L1444" i="14" s="1"/>
  <c r="K1416" i="14"/>
  <c r="H1416" i="14"/>
  <c r="F1414" i="14"/>
  <c r="E1493" i="14"/>
  <c r="E1512" i="14" s="1"/>
  <c r="G132" i="14"/>
  <c r="E136" i="14"/>
  <c r="G113" i="14" s="1"/>
  <c r="F117" i="14"/>
  <c r="K113" i="14"/>
  <c r="K132" i="14"/>
  <c r="H42" i="14"/>
  <c r="H38" i="14" s="1"/>
  <c r="K38" i="14"/>
  <c r="F38" i="14"/>
  <c r="H800" i="14"/>
  <c r="H796" i="14" s="1"/>
  <c r="K796" i="14"/>
  <c r="F796" i="14"/>
  <c r="F1495" i="14"/>
  <c r="L119" i="14"/>
  <c r="L1495" i="14" s="1"/>
  <c r="K119" i="14"/>
  <c r="H119" i="14"/>
  <c r="H1495" i="14" s="1"/>
  <c r="J1512" i="14"/>
  <c r="K1101" i="14"/>
  <c r="K1128" i="14" s="1"/>
  <c r="F1128" i="14"/>
  <c r="G1101" i="14"/>
  <c r="E669" i="14"/>
  <c r="G646" i="14" s="1"/>
  <c r="H646" i="14" s="1"/>
  <c r="F650" i="14"/>
  <c r="K646" i="14"/>
  <c r="G665" i="14"/>
  <c r="H665" i="14" s="1"/>
  <c r="K665" i="14"/>
  <c r="H420" i="14"/>
  <c r="H416" i="14" s="1"/>
  <c r="K416" i="14"/>
  <c r="F416" i="14"/>
  <c r="H1030" i="14"/>
  <c r="H1026" i="14" s="1"/>
  <c r="K1026" i="14"/>
  <c r="F1026" i="14"/>
  <c r="H955" i="14"/>
  <c r="K953" i="14"/>
  <c r="L955" i="14"/>
  <c r="L974" i="14" s="1"/>
  <c r="J983" i="14" s="1"/>
  <c r="L983" i="14" s="1"/>
  <c r="K955" i="14"/>
  <c r="F953" i="14"/>
  <c r="F876" i="14" l="1"/>
  <c r="K876" i="14"/>
  <c r="K878" i="14"/>
  <c r="L878" i="14"/>
  <c r="L897" i="14" s="1"/>
  <c r="J906" i="14" s="1"/>
  <c r="L906" i="14" s="1"/>
  <c r="H878" i="14"/>
  <c r="K1495" i="14"/>
  <c r="K1024" i="14"/>
  <c r="K1051" i="14" s="1"/>
  <c r="F1051" i="14"/>
  <c r="G1024" i="14"/>
  <c r="G1489" i="14"/>
  <c r="H113" i="14"/>
  <c r="H1489" i="14" s="1"/>
  <c r="K1331" i="14"/>
  <c r="K1358" i="14" s="1"/>
  <c r="F1358" i="14"/>
  <c r="G1331" i="14"/>
  <c r="H191" i="14"/>
  <c r="H187" i="14" s="1"/>
  <c r="K187" i="14"/>
  <c r="F187" i="14"/>
  <c r="H568" i="14"/>
  <c r="H953" i="14"/>
  <c r="H949" i="14" s="1"/>
  <c r="K949" i="14"/>
  <c r="F949" i="14"/>
  <c r="K414" i="14"/>
  <c r="K441" i="14" s="1"/>
  <c r="G414" i="14"/>
  <c r="F441" i="14"/>
  <c r="K794" i="14"/>
  <c r="K821" i="14" s="1"/>
  <c r="F821" i="14"/>
  <c r="G794" i="14"/>
  <c r="H1414" i="14"/>
  <c r="H1410" i="14" s="1"/>
  <c r="K1410" i="14"/>
  <c r="F1410" i="14"/>
  <c r="K648" i="14"/>
  <c r="L650" i="14"/>
  <c r="L669" i="14" s="1"/>
  <c r="J678" i="14" s="1"/>
  <c r="L678" i="14" s="1"/>
  <c r="K650" i="14"/>
  <c r="H650" i="14"/>
  <c r="F648" i="14"/>
  <c r="L1131" i="14"/>
  <c r="L1133" i="14" s="1"/>
  <c r="J1136" i="14"/>
  <c r="L1136" i="14" s="1"/>
  <c r="K1508" i="14"/>
  <c r="G1508" i="14"/>
  <c r="H132" i="14"/>
  <c r="H1508" i="14" s="1"/>
  <c r="K338" i="14"/>
  <c r="K365" i="14" s="1"/>
  <c r="G338" i="14"/>
  <c r="F365" i="14"/>
  <c r="H267" i="14"/>
  <c r="H263" i="14" s="1"/>
  <c r="K263" i="14"/>
  <c r="F263" i="14"/>
  <c r="K1257" i="14"/>
  <c r="H1261" i="14"/>
  <c r="H1257" i="14" s="1"/>
  <c r="F1257" i="14"/>
  <c r="H1101" i="14"/>
  <c r="H1128" i="14" s="1"/>
  <c r="G1128" i="14"/>
  <c r="K36" i="14"/>
  <c r="K61" i="14" s="1"/>
  <c r="G36" i="14"/>
  <c r="F61" i="14"/>
  <c r="K1489" i="14"/>
  <c r="K490" i="14"/>
  <c r="K517" i="14" s="1"/>
  <c r="F517" i="14"/>
  <c r="G490" i="14"/>
  <c r="K566" i="14"/>
  <c r="K593" i="14" s="1"/>
  <c r="F593" i="14"/>
  <c r="G566" i="14"/>
  <c r="F1493" i="14"/>
  <c r="H117" i="14"/>
  <c r="K115" i="14"/>
  <c r="K1491" i="14" s="1"/>
  <c r="L117" i="14"/>
  <c r="K117" i="14"/>
  <c r="K1493" i="14" s="1"/>
  <c r="F115" i="14"/>
  <c r="H1184" i="14"/>
  <c r="H1180" i="14" s="1"/>
  <c r="K1180" i="14"/>
  <c r="F1180" i="14"/>
  <c r="K726" i="14"/>
  <c r="H726" i="14"/>
  <c r="K724" i="14"/>
  <c r="L726" i="14"/>
  <c r="L745" i="14" s="1"/>
  <c r="J754" i="14" s="1"/>
  <c r="L754" i="14" s="1"/>
  <c r="F724" i="14"/>
  <c r="H876" i="14" l="1"/>
  <c r="H872" i="14" s="1"/>
  <c r="K872" i="14"/>
  <c r="F872" i="14"/>
  <c r="L1493" i="14"/>
  <c r="L1512" i="14" s="1"/>
  <c r="L136" i="14"/>
  <c r="J145" i="14" s="1"/>
  <c r="H566" i="14"/>
  <c r="H593" i="14" s="1"/>
  <c r="G593" i="14"/>
  <c r="H36" i="14"/>
  <c r="H61" i="14" s="1"/>
  <c r="G61" i="14"/>
  <c r="K1255" i="14"/>
  <c r="K1282" i="14" s="1"/>
  <c r="G1255" i="14"/>
  <c r="F1282" i="14"/>
  <c r="J373" i="14"/>
  <c r="L373" i="14" s="1"/>
  <c r="L368" i="14"/>
  <c r="L370" i="14" s="1"/>
  <c r="H648" i="14"/>
  <c r="H644" i="14" s="1"/>
  <c r="K644" i="14"/>
  <c r="F644" i="14"/>
  <c r="H794" i="14"/>
  <c r="H821" i="14" s="1"/>
  <c r="G821" i="14"/>
  <c r="H414" i="14"/>
  <c r="H441" i="14" s="1"/>
  <c r="G441" i="14"/>
  <c r="H1331" i="14"/>
  <c r="H1358" i="14" s="1"/>
  <c r="G1358" i="14"/>
  <c r="L520" i="14"/>
  <c r="L522" i="14" s="1"/>
  <c r="J525" i="14"/>
  <c r="L525" i="14" s="1"/>
  <c r="K1408" i="14"/>
  <c r="K1435" i="14" s="1"/>
  <c r="G1408" i="14"/>
  <c r="F1435" i="14"/>
  <c r="L444" i="14"/>
  <c r="L446" i="14" s="1"/>
  <c r="J449" i="14"/>
  <c r="L449" i="14" s="1"/>
  <c r="H1024" i="14"/>
  <c r="H1051" i="14" s="1"/>
  <c r="G1051" i="14"/>
  <c r="L64" i="14"/>
  <c r="L66" i="14" s="1"/>
  <c r="J69" i="14"/>
  <c r="L69" i="14" s="1"/>
  <c r="H724" i="14"/>
  <c r="H720" i="14" s="1"/>
  <c r="K720" i="14"/>
  <c r="F720" i="14"/>
  <c r="F1491" i="14"/>
  <c r="H115" i="14"/>
  <c r="K111" i="14"/>
  <c r="K1487" i="14" s="1"/>
  <c r="F111" i="14"/>
  <c r="H1493" i="14"/>
  <c r="J601" i="14"/>
  <c r="L601" i="14" s="1"/>
  <c r="L596" i="14"/>
  <c r="L598" i="14" s="1"/>
  <c r="L824" i="14"/>
  <c r="L826" i="14" s="1"/>
  <c r="J829" i="14"/>
  <c r="L829" i="14" s="1"/>
  <c r="K947" i="14"/>
  <c r="K974" i="14" s="1"/>
  <c r="G947" i="14"/>
  <c r="F974" i="14"/>
  <c r="L1361" i="14"/>
  <c r="L1363" i="14" s="1"/>
  <c r="J1366" i="14"/>
  <c r="L1366" i="14" s="1"/>
  <c r="K1178" i="14"/>
  <c r="K1205" i="14" s="1"/>
  <c r="G1178" i="14"/>
  <c r="F1205" i="14"/>
  <c r="H490" i="14"/>
  <c r="H517" i="14" s="1"/>
  <c r="G517" i="14"/>
  <c r="K261" i="14"/>
  <c r="K288" i="14" s="1"/>
  <c r="F288" i="14"/>
  <c r="G261" i="14"/>
  <c r="H338" i="14"/>
  <c r="H365" i="14" s="1"/>
  <c r="G365" i="14"/>
  <c r="K185" i="14"/>
  <c r="K212" i="14" s="1"/>
  <c r="F212" i="14"/>
  <c r="G185" i="14"/>
  <c r="L1054" i="14"/>
  <c r="L1056" i="14" s="1"/>
  <c r="J1059" i="14"/>
  <c r="L1059" i="14" s="1"/>
  <c r="K870" i="14" l="1"/>
  <c r="K897" i="14" s="1"/>
  <c r="G870" i="14"/>
  <c r="F897" i="14"/>
  <c r="L1208" i="14"/>
  <c r="L1210" i="14" s="1"/>
  <c r="J1213" i="14"/>
  <c r="L1213" i="14" s="1"/>
  <c r="H261" i="14"/>
  <c r="H288" i="14" s="1"/>
  <c r="G288" i="14"/>
  <c r="L977" i="14"/>
  <c r="L979" i="14" s="1"/>
  <c r="J982" i="14"/>
  <c r="L982" i="14" s="1"/>
  <c r="H1491" i="14"/>
  <c r="H111" i="14"/>
  <c r="H1487" i="14" s="1"/>
  <c r="H1408" i="14"/>
  <c r="H1435" i="14" s="1"/>
  <c r="G1435" i="14"/>
  <c r="H1255" i="14"/>
  <c r="H1282" i="14" s="1"/>
  <c r="G1282" i="14"/>
  <c r="J220" i="14"/>
  <c r="L220" i="14" s="1"/>
  <c r="L215" i="14"/>
  <c r="L217" i="14" s="1"/>
  <c r="J1443" i="14"/>
  <c r="L1443" i="14" s="1"/>
  <c r="L1438" i="14"/>
  <c r="L1440" i="14" s="1"/>
  <c r="J1290" i="14"/>
  <c r="L1290" i="14" s="1"/>
  <c r="L1285" i="14"/>
  <c r="L1287" i="14" s="1"/>
  <c r="H185" i="14"/>
  <c r="H212" i="14" s="1"/>
  <c r="G212" i="14"/>
  <c r="L291" i="14"/>
  <c r="L293" i="14" s="1"/>
  <c r="J296" i="14"/>
  <c r="L296" i="14" s="1"/>
  <c r="H1178" i="14"/>
  <c r="H1205" i="14" s="1"/>
  <c r="G1205" i="14"/>
  <c r="F1487" i="14"/>
  <c r="F1512" i="14" s="1"/>
  <c r="K109" i="14"/>
  <c r="F136" i="14"/>
  <c r="G109" i="14"/>
  <c r="K718" i="14"/>
  <c r="K745" i="14" s="1"/>
  <c r="G718" i="14"/>
  <c r="F745" i="14"/>
  <c r="K642" i="14"/>
  <c r="K669" i="14" s="1"/>
  <c r="G642" i="14"/>
  <c r="F669" i="14"/>
  <c r="J1521" i="14"/>
  <c r="L145" i="14"/>
  <c r="L1521" i="14" s="1"/>
  <c r="H947" i="14"/>
  <c r="H974" i="14" s="1"/>
  <c r="G974" i="14"/>
  <c r="G897" i="14" l="1"/>
  <c r="H870" i="14"/>
  <c r="H897" i="14" s="1"/>
  <c r="J905" i="14"/>
  <c r="L905" i="14" s="1"/>
  <c r="L900" i="14"/>
  <c r="L902" i="14" s="1"/>
  <c r="J677" i="14"/>
  <c r="L677" i="14" s="1"/>
  <c r="L672" i="14"/>
  <c r="L674" i="14" s="1"/>
  <c r="G1485" i="14"/>
  <c r="G1512" i="14" s="1"/>
  <c r="H109" i="14"/>
  <c r="G136" i="14"/>
  <c r="H642" i="14"/>
  <c r="H669" i="14" s="1"/>
  <c r="G669" i="14"/>
  <c r="H718" i="14"/>
  <c r="H745" i="14" s="1"/>
  <c r="G745" i="14"/>
  <c r="K1485" i="14"/>
  <c r="K1512" i="14" s="1"/>
  <c r="K136" i="14"/>
  <c r="J753" i="14"/>
  <c r="L753" i="14" s="1"/>
  <c r="L748" i="14"/>
  <c r="L750" i="14" s="1"/>
  <c r="H1485" i="14" l="1"/>
  <c r="H1512" i="14" s="1"/>
  <c r="H136" i="14"/>
  <c r="J144" i="14"/>
  <c r="L139" i="14"/>
  <c r="L1515" i="14" l="1"/>
  <c r="L141" i="14"/>
  <c r="L1517" i="14" s="1"/>
  <c r="J1520" i="14"/>
  <c r="L144" i="14"/>
  <c r="L1520" i="14" s="1"/>
</calcChain>
</file>

<file path=xl/sharedStrings.xml><?xml version="1.0" encoding="utf-8"?>
<sst xmlns="http://schemas.openxmlformats.org/spreadsheetml/2006/main" count="2336" uniqueCount="226">
  <si>
    <t>Totals</t>
  </si>
  <si>
    <t>Touchwood</t>
  </si>
  <si>
    <t>QCFS*</t>
  </si>
  <si>
    <t>Wahkotowin</t>
  </si>
  <si>
    <t>Nechapanuk</t>
  </si>
  <si>
    <t>STC</t>
  </si>
  <si>
    <t xml:space="preserve">Montreal Lake </t>
  </si>
  <si>
    <t>Peter Ballantyne</t>
  </si>
  <si>
    <t>YTC</t>
  </si>
  <si>
    <t>Agency Chiefs</t>
  </si>
  <si>
    <t>Ahtahkakoop</t>
  </si>
  <si>
    <t>Sturgeon Lake</t>
  </si>
  <si>
    <t>La Ronge</t>
  </si>
  <si>
    <t>BTC</t>
  </si>
  <si>
    <t>Onion Lake</t>
  </si>
  <si>
    <t>Kanaweyimik</t>
  </si>
  <si>
    <t>Meadow Lake</t>
  </si>
  <si>
    <t>Total Allocation
(a+b=c)</t>
  </si>
  <si>
    <t>Saskatchewan</t>
  </si>
  <si>
    <t>DRAFT</t>
  </si>
  <si>
    <t>14/15 Core/ Ops Funding 
(a)</t>
  </si>
  <si>
    <t>14/15 Prevention Funding 
(b)</t>
  </si>
  <si>
    <t>14/15
Maintenance funding 
(b)</t>
  </si>
  <si>
    <t>INAC INTERNAL USE ONLY</t>
  </si>
  <si>
    <t>AGENCY NAME:</t>
  </si>
  <si>
    <t>Regional - Based on Total Population - 0 - 18 years of age - December 31, 2007</t>
  </si>
  <si>
    <t>Member First Nations and 0-18 Population</t>
  </si>
  <si>
    <t>Total number of children serviced by agency</t>
  </si>
  <si>
    <t>Children in care based on 6%</t>
  </si>
  <si>
    <t>Multiple problem families</t>
  </si>
  <si>
    <t>Number of Bands</t>
  </si>
  <si>
    <t>Provincial Front Line Social Worker Average Salary (October 1 2007)</t>
  </si>
  <si>
    <t>Provincial Social Worker Supervisor Average Salary (October 1 2007)</t>
  </si>
  <si>
    <t>Provincial Support Worker Average Salary (October 1 2007)</t>
  </si>
  <si>
    <t>Fixed</t>
  </si>
  <si>
    <t xml:space="preserve">Variable </t>
  </si>
  <si>
    <t>Administrative Formula</t>
  </si>
  <si>
    <t>Basis of Calculations</t>
  </si>
  <si>
    <t># of Staff</t>
  </si>
  <si>
    <t>Salary</t>
  </si>
  <si>
    <t>Non-Salary</t>
  </si>
  <si>
    <t>Agency Core</t>
  </si>
  <si>
    <t>Protection</t>
  </si>
  <si>
    <t xml:space="preserve"> Enhancement</t>
  </si>
  <si>
    <t>Board of directors</t>
  </si>
  <si>
    <t>Director</t>
  </si>
  <si>
    <t>HR Staff</t>
  </si>
  <si>
    <t>Secretary/Receptionist</t>
  </si>
  <si>
    <t>Financial support</t>
  </si>
  <si>
    <t>Evaluation (Footnote 1)</t>
  </si>
  <si>
    <t>Audit</t>
  </si>
  <si>
    <t>Insurance</t>
  </si>
  <si>
    <t>Legal</t>
  </si>
  <si>
    <t>Admin overhead - 15% of Salaries and Benefits</t>
  </si>
  <si>
    <t>Benefits - 20.45 % of Salaries</t>
  </si>
  <si>
    <t>Ongoing training</t>
  </si>
  <si>
    <t>Off-Hour emergency service - 5% of direct service delivery and supervisors</t>
  </si>
  <si>
    <t>Supervisors</t>
  </si>
  <si>
    <t>Support staff</t>
  </si>
  <si>
    <t>Services Formula</t>
  </si>
  <si>
    <t>Foster care workers / permanency workers</t>
  </si>
  <si>
    <t>Foster care trainer / Recruit support / Placement resource</t>
  </si>
  <si>
    <t xml:space="preserve"> </t>
  </si>
  <si>
    <t>Case managers (child intervention)</t>
  </si>
  <si>
    <t>Family enhancement workers</t>
  </si>
  <si>
    <t>Service purchase @$125/child</t>
  </si>
  <si>
    <t>Travel for service staff</t>
  </si>
  <si>
    <t>Totals:</t>
  </si>
  <si>
    <t>New Operations formula and Least Disruptive Measures/Prevention Funding</t>
  </si>
  <si>
    <t>Revised 2008-2009 Agency Operations Funding incorporating Budget 2005 8.24% Adjustment</t>
  </si>
  <si>
    <t>Incremental Adjustment (Line 26 less Line 28)</t>
  </si>
  <si>
    <t>New Formula</t>
  </si>
  <si>
    <t>2007-2008 Operations Formula with 8.24% Budget 2005 Adjustment</t>
  </si>
  <si>
    <t>Adjustment</t>
  </si>
  <si>
    <t>Agency Core and Protection</t>
  </si>
  <si>
    <t>Least Disruptive Measures / Prevention Funding</t>
  </si>
  <si>
    <t>Agency Chiefs Child and Family Services</t>
  </si>
  <si>
    <t>*Note: 0-18 Population as of Dec. 31st, 2012</t>
  </si>
  <si>
    <t>Total # of children serviced by agency</t>
  </si>
  <si>
    <t>*</t>
  </si>
  <si>
    <t>Base Calculations</t>
  </si>
  <si>
    <t>CFS Case Management / community resource co-ordinator</t>
  </si>
  <si>
    <t>Remoteness adjustment (fixed)</t>
  </si>
  <si>
    <t>Ahtahkakoop Child and Family Services</t>
  </si>
  <si>
    <t>Provincial Front Line Social Worker Average Salary (October 1 2014)</t>
  </si>
  <si>
    <t>Provincial Social Worker Supervisor Average Salary (October 1 2014)</t>
  </si>
  <si>
    <t>Provincial Support Worker Average Salary (October 1 2014)</t>
  </si>
  <si>
    <t>BTC Human Services Corp</t>
  </si>
  <si>
    <t>Kanaweyimik Child and Family Services (not Including Thunderchild April, 1st, 2013)</t>
  </si>
  <si>
    <t>Lac La Ronge Child and Family Services</t>
  </si>
  <si>
    <t>Meadow Lake Tribal Council Child and Family Services</t>
  </si>
  <si>
    <t>Montreal Lake Child and Family Services</t>
  </si>
  <si>
    <t>Onion Lake Family Services</t>
  </si>
  <si>
    <t>Peter Ballantyne Child and Family Services</t>
  </si>
  <si>
    <t>Sturgeon Lake Child and Family Services</t>
  </si>
  <si>
    <t>Nechapanuk Centre Child and Family Services</t>
  </si>
  <si>
    <t>Qu'Appelle Child and Family Services -  Beardy's August 1st, 2013</t>
  </si>
  <si>
    <t>including prevention workers</t>
  </si>
  <si>
    <t>Saskatoon Tribal Council Health and Family Services</t>
  </si>
  <si>
    <t>Touchwood Child and Family Services</t>
  </si>
  <si>
    <t xml:space="preserve">Wahkotowin </t>
  </si>
  <si>
    <t>Yorkton Tribal Council Child and Family Services</t>
  </si>
  <si>
    <t>Prevention</t>
  </si>
  <si>
    <t xml:space="preserve">Saskatchewan Regional Totals </t>
  </si>
  <si>
    <t xml:space="preserve">Province of Sask. </t>
  </si>
  <si>
    <t>Children in care</t>
  </si>
  <si>
    <t>*Note: 0-18 Population as of Dec. 31st, 2014</t>
  </si>
  <si>
    <t>Provincial Front Line Social Worker Average Salary (Oct. 1 2015)</t>
  </si>
  <si>
    <t>Provincial Social Worker Supervisor Average Salary (Oct. 1 2015)</t>
  </si>
  <si>
    <t>Provincial Support Worker Average Salary (Oct 1 2015)</t>
  </si>
  <si>
    <t>Incorporating Provincial Salary Increase for 2015-2016</t>
  </si>
  <si>
    <t>Intake/Investigation workers</t>
  </si>
  <si>
    <t>Enhanced Prevention workers</t>
  </si>
  <si>
    <t>Finance Manager</t>
  </si>
  <si>
    <t>Off-Hour emergency service - 10% of direct service delivery &amp; supervisors</t>
  </si>
  <si>
    <t>Direct Services Formula</t>
  </si>
  <si>
    <t>Provincial Front Line Social Worker Average Salary (October 1 2015)</t>
  </si>
  <si>
    <t>Provincial Social Worker Supervisor Average Salary (October 1 2015)</t>
  </si>
  <si>
    <t>Provincial Support Worker Average Salary (October 1 2015)</t>
  </si>
  <si>
    <t>Enhanced Prevention Manager</t>
  </si>
  <si>
    <t>FN's not covered by FNCFS Agency: Services Provided by MSS</t>
  </si>
  <si>
    <t>Big Island Cree Nation: 0-18 pop  Dec. 31st, 2014</t>
  </si>
  <si>
    <t>Okanese: 0-18 pop Dec 31st, 2014</t>
  </si>
  <si>
    <t>Thunderchild : 0-18 pop. Dece 31st, 2014</t>
  </si>
  <si>
    <t>Total</t>
  </si>
  <si>
    <t>Total Core/Operations</t>
  </si>
  <si>
    <t>Where current provincial salary grids were not available for the purpose of this costing exercise, 2% compounded annually from the EPFA implementation date, was added to each salary total.  These numbers will be validated prior to any further implementation</t>
  </si>
  <si>
    <t>Travel</t>
  </si>
  <si>
    <t>Intake/Investigation</t>
  </si>
  <si>
    <t>Social Workers</t>
  </si>
  <si>
    <t xml:space="preserve">Supervisors </t>
  </si>
  <si>
    <t xml:space="preserve">Off hour/emergency service </t>
  </si>
  <si>
    <t>Calculated at $2000 per employee depending on the jurisdiction (this is supposed to include the travel associated with the training).  Tripartite roles and responsibilities have been developed to have Provincial Casework Practice and IT training provided to First Nations Agency staff by the province at no direct cost, however, in practice, this has not always taken place.  Further bilateral work with provinces is necessary to mitigate.</t>
  </si>
  <si>
    <t xml:space="preserve">Ongoing training </t>
  </si>
  <si>
    <t>Benefits</t>
  </si>
  <si>
    <t xml:space="preserve">Administrative overhead </t>
  </si>
  <si>
    <t>Financial Manager (or Comptroller)</t>
  </si>
  <si>
    <t>HR person (or HR Coordinator)</t>
  </si>
  <si>
    <t>Administrative Assistant/ Receptionist</t>
  </si>
  <si>
    <t>Salaries based on provincial comparability.  Currently every agency (small to large) is given one ED at the mid-range of the provincial salary scale for this position</t>
  </si>
  <si>
    <t>Agency Director (or Executive Director)</t>
  </si>
  <si>
    <t>Discussed during tripartite meetings and decided a fair number is 3 children per family.  The calculation is taking the 0-18 child pop, dividing by 3 and then taking 20% of the total. It is understood that many families on reserve have more than 3 children; however, if the number were any higher, it would drive the total down.</t>
  </si>
  <si>
    <t>Number of children in care</t>
  </si>
  <si>
    <t xml:space="preserve">Number of children served by agency </t>
  </si>
  <si>
    <t>Line Item</t>
  </si>
  <si>
    <t>The calculations are based upon the following assumptions:</t>
  </si>
  <si>
    <t>Description</t>
  </si>
  <si>
    <t>SK METHODOLOGY</t>
  </si>
  <si>
    <t>Number of multiple problem families</t>
  </si>
  <si>
    <t>Board of Directors</t>
  </si>
  <si>
    <t xml:space="preserve">Board expenditures are not to exceed $50000 per year. Additional funding can be provided to address remoteness and/or multi-site agencies. </t>
  </si>
  <si>
    <t>Financial Support Staff</t>
  </si>
  <si>
    <t>Service Purchase</t>
  </si>
  <si>
    <t>Remoteness</t>
  </si>
  <si>
    <t>Enhanced Prevention Staff</t>
  </si>
  <si>
    <t>Service purchase @$175/child</t>
  </si>
  <si>
    <t xml:space="preserve">Currently every agency (small to large) is given one Enhanced Prevention Manager.  </t>
  </si>
  <si>
    <t xml:space="preserve">Calculated using 15% of the total salaries and benefits of the organization.  This is intended to be used for rent (mortgage payments) / IT / supplies / heat/hydro/janitorial services/ telephone etc.… The national (and GoC average is 10%); however, 15% is used to take into account the IT needs that would not be included in government accommodation costs.  </t>
  </si>
  <si>
    <t>This is done on a recipient by recipient bases.</t>
  </si>
  <si>
    <t xml:space="preserve">7
</t>
  </si>
  <si>
    <t>Service Support Workers</t>
  </si>
  <si>
    <t>Athabasca/Yuthe Dene</t>
  </si>
  <si>
    <t>Ahtabasca Densuline Child and Family Services / Yuth Dene</t>
  </si>
  <si>
    <t>Children in care - 13/14 Actuals</t>
  </si>
  <si>
    <t xml:space="preserve">Most medium to large agencies require a Financial Manager and financial support workers.  1 Financial Manager per agency. </t>
  </si>
  <si>
    <t xml:space="preserve">Calculated at 10% of total costs for direct delivery staff (social workers and support workers) and supervisors.  </t>
  </si>
  <si>
    <t>Support Staff</t>
  </si>
  <si>
    <t xml:space="preserve">1 supervisor for every 6 direct service delivery staff (this includes social workers and service support workers).  </t>
  </si>
  <si>
    <t xml:space="preserve">1 support staff for every 6 direct service delivery staff (this includes social workers and supervisors).  </t>
  </si>
  <si>
    <t>Foster Care Trainer/Recruit Support/Placement Resources</t>
  </si>
  <si>
    <t>1 per agency.</t>
  </si>
  <si>
    <t xml:space="preserve">These are additional social workers required to support caseloads that are not children in care.  The calculation for the number of staff uses the multiple problem families count at a 1:40 ratio.  </t>
  </si>
  <si>
    <t xml:space="preserve">There are various names for the types of social workers and each jurisdiction's formula lists their respective workers (i.e. foster care worker, case managers, family enhancement workers etc.).  The salaries are based on the mid-range of the provincial salary scale and the number of social workers is based on a provincial caseload ratio that ranges from 1:20 to 1:30 (on average).  </t>
  </si>
  <si>
    <t>Notes</t>
  </si>
  <si>
    <t xml:space="preserve">Added this line to provide direct financial support to non-service employees.1 additional Financial Support for every 100 CIC. </t>
  </si>
  <si>
    <t xml:space="preserve">Maintained a CIC average count of 6% for each agency, unless 13/14 IMS Actual CIC count was above the 6% thereshold. </t>
  </si>
  <si>
    <t>EPFA Manager/Community Co-ordinator</t>
  </si>
  <si>
    <t>2015-2016 Model Adjustments</t>
  </si>
  <si>
    <t>2014-2015 Actuals</t>
  </si>
  <si>
    <t>Operations</t>
  </si>
  <si>
    <t xml:space="preserve">Total </t>
  </si>
  <si>
    <t>Agency Chiefs TC</t>
  </si>
  <si>
    <t>Incremental Adjustment (Line 24 less Line 25)</t>
  </si>
  <si>
    <t>Yuthe Denne Sekwi (Athabasca)</t>
  </si>
  <si>
    <t>Battleford TC</t>
  </si>
  <si>
    <t>Kanaweyihimitowin CFS (Beardy's)</t>
  </si>
  <si>
    <t>Kanaweyinik</t>
  </si>
  <si>
    <t>Lac La Ronge</t>
  </si>
  <si>
    <t>Meadow Lake Tribal Council</t>
  </si>
  <si>
    <t>Montreal Lake</t>
  </si>
  <si>
    <t>Nehiyaw Awasis Siceca</t>
  </si>
  <si>
    <t>Nicapanak</t>
  </si>
  <si>
    <t>Qu'Appelle Tribal Council</t>
  </si>
  <si>
    <t>Saskatoon District Tribal</t>
  </si>
  <si>
    <t>Yorkton</t>
  </si>
  <si>
    <t>0-18 pop  December 2014</t>
  </si>
  <si>
    <t>Funding Increase</t>
  </si>
  <si>
    <t>Adjustment for Size</t>
  </si>
  <si>
    <t>800+</t>
  </si>
  <si>
    <t>Evaluation</t>
  </si>
  <si>
    <t>`</t>
  </si>
  <si>
    <t>Operations Increase</t>
  </si>
  <si>
    <t>Prevention Increase</t>
  </si>
  <si>
    <t>Child Population (0-18)</t>
  </si>
  <si>
    <t xml:space="preserve">Core adjustment  for Scale </t>
  </si>
  <si>
    <t>100 or less</t>
  </si>
  <si>
    <t>Small Agency Adjustment (87.5%)</t>
  </si>
  <si>
    <t>Small Agency Adjustmentt (87.5%)</t>
  </si>
  <si>
    <t>SK 1000 Model</t>
  </si>
  <si>
    <t>DRAFT - INAC INTERNAL USE ONLY</t>
  </si>
  <si>
    <t>The 0-18 registered First Nations children on reserve count (source: IRS updated as of December 31, 2014).</t>
  </si>
  <si>
    <t>Salaries based on provincial comparability.  Currently every agency (small to large) is given one HR person at the mid-range of the provincial salary scale for this position.</t>
  </si>
  <si>
    <t>Salaries based on provincial comparability.  Currently every agency (small to large) is given one Admin Assistant at the mid-range of the provincial salary scale for this position.</t>
  </si>
  <si>
    <t>Calculated using the GoC 20.45% of total salaries.  This was based on an AANDC program decision to maintain consistency across the country.</t>
  </si>
  <si>
    <t xml:space="preserve">Ratio of 1:20 problem families. </t>
  </si>
  <si>
    <t>Calculated at $175 per child.</t>
  </si>
  <si>
    <t>Calculated at $11,500 per direct service worker annually (including the support workers), supervisors and agency ED.  In some cases, a remoteness amount is included in the travel cost. This is done on a recipient by recipient bases.</t>
  </si>
  <si>
    <t>Total:</t>
  </si>
  <si>
    <r>
      <rPr>
        <b/>
        <sz val="12"/>
        <rFont val="Arial"/>
        <family val="2"/>
      </rPr>
      <t xml:space="preserve">Note: </t>
    </r>
    <r>
      <rPr>
        <sz val="12"/>
        <rFont val="Arial"/>
        <family val="2"/>
      </rPr>
      <t xml:space="preserve">Total's do not match due to scaling of some agency core. </t>
    </r>
  </si>
  <si>
    <t>Funding Increase @ 60%</t>
  </si>
  <si>
    <t>Funding Increase @ 70%</t>
  </si>
  <si>
    <t>Funding Increase @ 80%</t>
  </si>
  <si>
    <t>Funding Increase @ 100%</t>
  </si>
  <si>
    <t>Funding Increase Q1/Q2</t>
  </si>
  <si>
    <t>Funding Increase Q3/Q4</t>
  </si>
  <si>
    <t>TOTAL</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</si>
</sst>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_(&quot;$&quot;* \(#,##0.00\);_(&quot;$&quot;* &quot;-&quot;??_);_(@_)"/>
    <numFmt numFmtId="43" formatCode="_(* #,##0.00_);_(* \(#,##0.00\);_(* &quot;-&quot;??_);_(@_)"/>
    <numFmt numFmtId="164" formatCode="_(&quot;$&quot;* #,##0_);_(&quot;$&quot;* \(#,##0\);_(&quot;$&quot;* &quot;-&quot;??_);_(@_)"/>
    <numFmt numFmtId="165" formatCode="&quot;$&quot;#,##0"/>
    <numFmt numFmtId="166" formatCode="_-&quot;$&quot;* #,##0_-;\-&quot;$&quot;* #,##0_-;_-&quot;$&quot;* &quot;-&quot;??_-;_-@_-"/>
    <numFmt numFmtId="167" formatCode="_-* #,##0_-;\-* #,##0_-;_-* &quot;-&quot;??_-;_-@_-"/>
    <numFmt numFmtId="168" formatCode="&quot;$&quot;#,##0.00"/>
    <numFmt numFmtId="169" formatCode="&quot;$&quot;#,##0.000"/>
    <numFmt numFmtId="170" formatCode="_(* #,##0_);_(* \(#,##0\);_(* &quot;-&quot;??_);_(@_)"/>
  </numFmts>
  <fonts count="24"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b/>
      <sz val="10"/>
      <name val="Arial"/>
      <family val="2"/>
    </font>
    <font>
      <sz val="10"/>
      <color theme="1"/>
      <name val="Arial"/>
      <family val="2"/>
    </font>
    <font>
      <b/>
      <sz val="10"/>
      <color theme="1"/>
      <name val="Arial"/>
      <family val="2"/>
    </font>
    <font>
      <b/>
      <sz val="10"/>
      <color rgb="FFFF0000"/>
      <name val="Arial"/>
      <family val="2"/>
    </font>
    <font>
      <sz val="12"/>
      <color indexed="10"/>
      <name val="Arial"/>
      <family val="2"/>
    </font>
    <font>
      <sz val="12"/>
      <name val="Arial"/>
      <family val="2"/>
    </font>
    <font>
      <b/>
      <sz val="12"/>
      <name val="Arial"/>
      <family val="2"/>
    </font>
    <font>
      <u/>
      <sz val="12"/>
      <name val="Arial"/>
      <family val="2"/>
    </font>
    <font>
      <b/>
      <u/>
      <sz val="12"/>
      <name val="Arial"/>
      <family val="2"/>
    </font>
    <font>
      <b/>
      <sz val="12"/>
      <color indexed="10"/>
      <name val="Arial"/>
      <family val="2"/>
    </font>
    <font>
      <sz val="14"/>
      <name val="Arial"/>
      <family val="2"/>
    </font>
    <font>
      <sz val="10"/>
      <name val="Arial"/>
      <family val="2"/>
    </font>
    <font>
      <sz val="12"/>
      <color theme="1"/>
      <name val="Arial"/>
      <family val="2"/>
    </font>
    <font>
      <b/>
      <sz val="12"/>
      <color theme="1"/>
      <name val="Arial"/>
      <family val="2"/>
    </font>
    <font>
      <b/>
      <u/>
      <sz val="12"/>
      <color indexed="10"/>
      <name val="Arial"/>
      <family val="2"/>
    </font>
    <font>
      <b/>
      <sz val="12"/>
      <color rgb="FFFF0000"/>
      <name val="Arial"/>
      <family val="2"/>
    </font>
    <font>
      <b/>
      <u/>
      <sz val="12"/>
      <color rgb="FFFF0000"/>
      <name val="Arial"/>
      <family val="2"/>
    </font>
    <font>
      <b/>
      <sz val="10"/>
      <color theme="1" tint="0.14999847407452621"/>
      <name val="Arial"/>
      <family val="2"/>
    </font>
    <font>
      <b/>
      <sz val="11"/>
      <color theme="0"/>
      <name val="Calibri"/>
      <family val="2"/>
      <scheme val="minor"/>
    </font>
    <font>
      <sz val="11"/>
      <name val="Calibri"/>
      <family val="2"/>
      <scheme val="minor"/>
    </font>
  </fonts>
  <fills count="8">
    <fill>
      <patternFill patternType="none"/>
    </fill>
    <fill>
      <patternFill patternType="gray125"/>
    </fill>
    <fill>
      <patternFill patternType="solid">
        <fgColor rgb="FF92D050"/>
        <bgColor indexed="64"/>
      </patternFill>
    </fill>
    <fill>
      <patternFill patternType="solid">
        <fgColor rgb="FFFF0000"/>
        <bgColor indexed="64"/>
      </patternFill>
    </fill>
    <fill>
      <patternFill patternType="solid">
        <fgColor theme="6" tint="0.59999389629810485"/>
        <bgColor indexed="64"/>
      </patternFill>
    </fill>
    <fill>
      <patternFill patternType="solid">
        <fgColor theme="0" tint="-0.249977111117893"/>
        <bgColor indexed="64"/>
      </patternFill>
    </fill>
    <fill>
      <patternFill patternType="solid">
        <fgColor theme="1"/>
        <bgColor indexed="64"/>
      </patternFill>
    </fill>
    <fill>
      <patternFill patternType="solid">
        <fgColor theme="0"/>
        <bgColor indexed="64"/>
      </patternFill>
    </fill>
  </fills>
  <borders count="49">
    <border>
      <left/>
      <right/>
      <top/>
      <bottom/>
      <diagonal/>
    </border>
    <border>
      <left/>
      <right/>
      <top/>
      <bottom style="thin">
        <color indexed="64"/>
      </bottom>
      <diagonal/>
    </border>
    <border>
      <left style="thin">
        <color auto="1"/>
      </left>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style="medium">
        <color indexed="64"/>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bottom/>
      <diagonal/>
    </border>
    <border>
      <left style="thin">
        <color auto="1"/>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s>
  <cellStyleXfs count="19">
    <xf numFmtId="0" fontId="0" fillId="0" borderId="0"/>
    <xf numFmtId="44" fontId="1" fillId="0" borderId="0" applyFont="0" applyFill="0" applyBorder="0" applyAlignment="0" applyProtection="0"/>
    <xf numFmtId="0" fontId="3" fillId="0" borderId="0"/>
    <xf numFmtId="44" fontId="3" fillId="0" borderId="0" applyFont="0" applyFill="0" applyBorder="0" applyAlignment="0" applyProtection="0"/>
    <xf numFmtId="9" fontId="3"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0" fontId="15" fillId="0" borderId="0"/>
    <xf numFmtId="43" fontId="15" fillId="0" borderId="0" applyFont="0" applyFill="0" applyBorder="0" applyAlignment="0" applyProtection="0"/>
    <xf numFmtId="44" fontId="15" fillId="0" borderId="0" applyFont="0" applyFill="0" applyBorder="0" applyAlignment="0" applyProtection="0"/>
    <xf numFmtId="0" fontId="1" fillId="0" borderId="0"/>
    <xf numFmtId="44" fontId="1" fillId="0" borderId="0" applyFont="0" applyFill="0" applyBorder="0" applyAlignment="0" applyProtection="0"/>
    <xf numFmtId="43" fontId="1" fillId="0" borderId="0" applyFont="0" applyFill="0" applyBorder="0" applyAlignment="0" applyProtection="0"/>
    <xf numFmtId="0" fontId="3" fillId="0" borderId="0"/>
    <xf numFmtId="43" fontId="3" fillId="0" borderId="0" applyFont="0" applyFill="0" applyBorder="0" applyAlignment="0" applyProtection="0"/>
    <xf numFmtId="44" fontId="3" fillId="0" borderId="0" applyFont="0" applyFill="0" applyBorder="0" applyAlignment="0" applyProtection="0"/>
    <xf numFmtId="9" fontId="15"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cellStyleXfs>
  <cellXfs count="429">
    <xf numFmtId="0" fontId="0" fillId="0" borderId="0" xfId="0"/>
    <xf numFmtId="0" fontId="8" fillId="0" borderId="0" xfId="2" applyFont="1"/>
    <xf numFmtId="0" fontId="9" fillId="0" borderId="0" xfId="2" applyFont="1" applyAlignment="1">
      <alignment wrapText="1"/>
    </xf>
    <xf numFmtId="0" fontId="10" fillId="0" borderId="0" xfId="2" applyFont="1" applyAlignment="1">
      <alignment wrapText="1"/>
    </xf>
    <xf numFmtId="3" fontId="9" fillId="0" borderId="0" xfId="2" applyNumberFormat="1" applyFont="1"/>
    <xf numFmtId="3" fontId="11" fillId="0" borderId="0" xfId="2" applyNumberFormat="1" applyFont="1"/>
    <xf numFmtId="3" fontId="10" fillId="0" borderId="0" xfId="2" applyNumberFormat="1" applyFont="1"/>
    <xf numFmtId="166" fontId="9" fillId="0" borderId="0" xfId="3" applyNumberFormat="1" applyFont="1"/>
    <xf numFmtId="166" fontId="9" fillId="0" borderId="0" xfId="3" applyNumberFormat="1" applyFont="1" applyAlignment="1">
      <alignment wrapText="1"/>
    </xf>
    <xf numFmtId="165" fontId="9" fillId="0" borderId="0" xfId="5" applyNumberFormat="1" applyFont="1"/>
    <xf numFmtId="165" fontId="9" fillId="0" borderId="0" xfId="2" applyNumberFormat="1" applyFont="1"/>
    <xf numFmtId="167" fontId="9" fillId="0" borderId="0" xfId="5" applyNumberFormat="1" applyFont="1"/>
    <xf numFmtId="0" fontId="10" fillId="0" borderId="10" xfId="2" applyFont="1" applyBorder="1" applyAlignment="1">
      <alignment horizontal="center"/>
    </xf>
    <xf numFmtId="0" fontId="12" fillId="0" borderId="0" xfId="2" applyFont="1" applyAlignment="1">
      <alignment wrapText="1"/>
    </xf>
    <xf numFmtId="0" fontId="10" fillId="0" borderId="10" xfId="2" applyFont="1" applyBorder="1" applyAlignment="1">
      <alignment horizontal="center" wrapText="1"/>
    </xf>
    <xf numFmtId="0" fontId="10" fillId="0" borderId="0" xfId="2" applyFont="1" applyAlignment="1">
      <alignment horizontal="center" wrapText="1"/>
    </xf>
    <xf numFmtId="0" fontId="10" fillId="0" borderId="0" xfId="2" applyFont="1" applyAlignment="1">
      <alignment horizontal="center"/>
    </xf>
    <xf numFmtId="0" fontId="10" fillId="0" borderId="4" xfId="2" applyFont="1" applyBorder="1" applyAlignment="1">
      <alignment horizontal="center"/>
    </xf>
    <xf numFmtId="0" fontId="12" fillId="0" borderId="0" xfId="2" applyFont="1"/>
    <xf numFmtId="0" fontId="10" fillId="0" borderId="11" xfId="2" applyFont="1" applyBorder="1" applyAlignment="1">
      <alignment horizontal="center" wrapText="1"/>
    </xf>
    <xf numFmtId="0" fontId="10" fillId="0" borderId="2" xfId="2" applyFont="1" applyBorder="1" applyAlignment="1">
      <alignment horizontal="center"/>
    </xf>
    <xf numFmtId="0" fontId="10" fillId="0" borderId="0" xfId="2" applyFont="1" applyBorder="1" applyAlignment="1">
      <alignment horizontal="center"/>
    </xf>
    <xf numFmtId="0" fontId="10" fillId="0" borderId="5" xfId="2" applyFont="1" applyBorder="1" applyAlignment="1">
      <alignment horizontal="center"/>
    </xf>
    <xf numFmtId="0" fontId="12" fillId="0" borderId="9" xfId="2" applyFont="1" applyBorder="1"/>
    <xf numFmtId="0" fontId="10" fillId="0" borderId="12" xfId="2" applyFont="1" applyBorder="1"/>
    <xf numFmtId="0" fontId="10" fillId="0" borderId="13" xfId="2" applyFont="1" applyBorder="1"/>
    <xf numFmtId="165" fontId="9" fillId="0" borderId="11" xfId="2" applyNumberFormat="1" applyFont="1" applyBorder="1"/>
    <xf numFmtId="0" fontId="9" fillId="0" borderId="2" xfId="2" applyFont="1" applyBorder="1"/>
    <xf numFmtId="165" fontId="9" fillId="0" borderId="0" xfId="2" applyNumberFormat="1" applyFont="1" applyBorder="1"/>
    <xf numFmtId="165" fontId="9" fillId="0" borderId="5" xfId="2" applyNumberFormat="1" applyFont="1" applyBorder="1"/>
    <xf numFmtId="165" fontId="9" fillId="0" borderId="2" xfId="2" applyNumberFormat="1" applyFont="1" applyBorder="1"/>
    <xf numFmtId="165" fontId="9" fillId="0" borderId="11" xfId="2" applyNumberFormat="1" applyFont="1" applyBorder="1" applyAlignment="1">
      <alignment horizontal="right"/>
    </xf>
    <xf numFmtId="165" fontId="9" fillId="0" borderId="0" xfId="2" applyNumberFormat="1" applyFont="1" applyBorder="1" applyAlignment="1">
      <alignment horizontal="right"/>
    </xf>
    <xf numFmtId="165" fontId="9" fillId="0" borderId="5" xfId="2" applyNumberFormat="1" applyFont="1" applyBorder="1" applyAlignment="1">
      <alignment horizontal="right"/>
    </xf>
    <xf numFmtId="165" fontId="9" fillId="0" borderId="2" xfId="2" applyNumberFormat="1" applyFont="1" applyBorder="1" applyAlignment="1">
      <alignment horizontal="right"/>
    </xf>
    <xf numFmtId="165" fontId="9" fillId="0" borderId="5" xfId="2" applyNumberFormat="1" applyFont="1" applyBorder="1" applyAlignment="1">
      <alignment vertical="center"/>
    </xf>
    <xf numFmtId="0" fontId="9" fillId="0" borderId="0" xfId="2" applyFont="1" applyAlignment="1">
      <alignment vertical="top" wrapText="1"/>
    </xf>
    <xf numFmtId="0" fontId="9" fillId="0" borderId="0" xfId="2" applyFont="1" applyAlignment="1">
      <alignment vertical="center" wrapText="1"/>
    </xf>
    <xf numFmtId="165" fontId="9" fillId="0" borderId="11" xfId="2" applyNumberFormat="1" applyFont="1" applyBorder="1" applyAlignment="1">
      <alignment vertical="center"/>
    </xf>
    <xf numFmtId="165" fontId="9" fillId="0" borderId="0" xfId="2" applyNumberFormat="1" applyFont="1" applyAlignment="1">
      <alignment vertical="center"/>
    </xf>
    <xf numFmtId="0" fontId="9" fillId="0" borderId="2" xfId="2" applyFont="1" applyBorder="1" applyAlignment="1">
      <alignment vertical="center"/>
    </xf>
    <xf numFmtId="165" fontId="9" fillId="0" borderId="0" xfId="2" applyNumberFormat="1" applyFont="1" applyBorder="1" applyAlignment="1">
      <alignment vertical="center"/>
    </xf>
    <xf numFmtId="165" fontId="9" fillId="0" borderId="2" xfId="2" applyNumberFormat="1" applyFont="1" applyBorder="1" applyAlignment="1">
      <alignment vertical="center"/>
    </xf>
    <xf numFmtId="165" fontId="9" fillId="0" borderId="0" xfId="2" applyNumberFormat="1" applyFont="1" applyAlignment="1">
      <alignment horizontal="right"/>
    </xf>
    <xf numFmtId="165" fontId="9" fillId="0" borderId="14" xfId="2" applyNumberFormat="1" applyFont="1" applyBorder="1"/>
    <xf numFmtId="0" fontId="9" fillId="0" borderId="4" xfId="2" applyFont="1" applyBorder="1"/>
    <xf numFmtId="165" fontId="9" fillId="0" borderId="1" xfId="2" applyNumberFormat="1" applyFont="1" applyBorder="1"/>
    <xf numFmtId="165" fontId="9" fillId="0" borderId="3" xfId="2" applyNumberFormat="1" applyFont="1" applyBorder="1"/>
    <xf numFmtId="165" fontId="9" fillId="0" borderId="4" xfId="2" applyNumberFormat="1" applyFont="1" applyBorder="1"/>
    <xf numFmtId="0" fontId="9" fillId="0" borderId="0" xfId="2" applyFont="1" applyAlignment="1"/>
    <xf numFmtId="0" fontId="9" fillId="0" borderId="0" xfId="2" applyFont="1" applyBorder="1"/>
    <xf numFmtId="165" fontId="10" fillId="0" borderId="0" xfId="2" applyNumberFormat="1" applyFont="1"/>
    <xf numFmtId="165" fontId="10" fillId="0" borderId="0" xfId="2" applyNumberFormat="1" applyFont="1" applyAlignment="1">
      <alignment horizontal="center" wrapText="1"/>
    </xf>
    <xf numFmtId="165" fontId="10" fillId="0" borderId="0" xfId="2" applyNumberFormat="1" applyFont="1" applyAlignment="1">
      <alignment horizontal="center"/>
    </xf>
    <xf numFmtId="166" fontId="9" fillId="0" borderId="0" xfId="3" applyNumberFormat="1" applyFont="1" applyAlignment="1"/>
    <xf numFmtId="0" fontId="9" fillId="0" borderId="0" xfId="2" applyFont="1"/>
    <xf numFmtId="0" fontId="10" fillId="0" borderId="0" xfId="2" applyFont="1"/>
    <xf numFmtId="0" fontId="16" fillId="0" borderId="0" xfId="0" applyFont="1" applyFill="1" applyAlignment="1">
      <alignment vertical="top"/>
    </xf>
    <xf numFmtId="0" fontId="16" fillId="0" borderId="0" xfId="0" applyFont="1" applyFill="1"/>
    <xf numFmtId="0" fontId="17" fillId="0" borderId="0" xfId="0" applyFont="1" applyFill="1" applyAlignment="1">
      <alignment horizontal="center" vertical="top"/>
    </xf>
    <xf numFmtId="165" fontId="9" fillId="0" borderId="5" xfId="2" applyNumberFormat="1" applyFont="1" applyBorder="1" applyAlignment="1"/>
    <xf numFmtId="0" fontId="10" fillId="0" borderId="9" xfId="2" applyFont="1" applyBorder="1" applyAlignment="1">
      <alignment horizontal="center"/>
    </xf>
    <xf numFmtId="0" fontId="10" fillId="0" borderId="13" xfId="2" applyFont="1" applyBorder="1" applyAlignment="1">
      <alignment horizontal="center"/>
    </xf>
    <xf numFmtId="3" fontId="9" fillId="0" borderId="5" xfId="2" applyNumberFormat="1" applyFont="1" applyBorder="1"/>
    <xf numFmtId="3" fontId="9" fillId="0" borderId="2" xfId="2" applyNumberFormat="1" applyFont="1" applyBorder="1"/>
    <xf numFmtId="165" fontId="9" fillId="0" borderId="0" xfId="2" applyNumberFormat="1" applyFont="1" applyAlignment="1">
      <alignment horizontal="center" wrapText="1"/>
    </xf>
    <xf numFmtId="165" fontId="9" fillId="0" borderId="0" xfId="2" applyNumberFormat="1" applyFont="1" applyAlignment="1">
      <alignment horizontal="center"/>
    </xf>
    <xf numFmtId="0" fontId="0" fillId="0" borderId="0" xfId="0"/>
    <xf numFmtId="0" fontId="9" fillId="0" borderId="0" xfId="0" applyFont="1" applyFill="1" applyAlignment="1">
      <alignment vertical="top"/>
    </xf>
    <xf numFmtId="0" fontId="10" fillId="0" borderId="0" xfId="0" applyFont="1" applyFill="1"/>
    <xf numFmtId="0" fontId="16" fillId="0" borderId="0" xfId="0" applyFont="1" applyFill="1" applyAlignment="1">
      <alignment wrapText="1"/>
    </xf>
    <xf numFmtId="0" fontId="9" fillId="0" borderId="0" xfId="0" applyFont="1" applyFill="1" applyAlignment="1">
      <alignment horizontal="centerContinuous"/>
    </xf>
    <xf numFmtId="0" fontId="0" fillId="0" borderId="0" xfId="0" applyBorder="1" applyAlignment="1">
      <alignment horizontal="right"/>
    </xf>
    <xf numFmtId="0" fontId="9" fillId="0" borderId="0" xfId="0" applyFont="1" applyFill="1"/>
    <xf numFmtId="0" fontId="16" fillId="0" borderId="0" xfId="0" applyFont="1" applyFill="1"/>
    <xf numFmtId="0" fontId="10" fillId="0" borderId="0" xfId="0" applyFont="1" applyFill="1" applyAlignment="1">
      <alignment horizontal="center" vertical="top"/>
    </xf>
    <xf numFmtId="0" fontId="10" fillId="0" borderId="21" xfId="0" applyFont="1" applyFill="1" applyBorder="1" applyAlignment="1">
      <alignment horizontal="center" vertical="top"/>
    </xf>
    <xf numFmtId="0" fontId="10" fillId="0" borderId="25" xfId="0" applyFont="1" applyFill="1" applyBorder="1" applyAlignment="1">
      <alignment horizontal="center" vertical="top"/>
    </xf>
    <xf numFmtId="0" fontId="10" fillId="0" borderId="27" xfId="0" applyFont="1" applyFill="1" applyBorder="1" applyAlignment="1">
      <alignment horizontal="center" vertical="top"/>
    </xf>
    <xf numFmtId="0" fontId="9" fillId="0" borderId="28" xfId="0" applyFont="1" applyFill="1" applyBorder="1" applyAlignment="1">
      <alignment vertical="top" wrapText="1"/>
    </xf>
    <xf numFmtId="0" fontId="9" fillId="0" borderId="29" xfId="0" applyFont="1" applyFill="1" applyBorder="1" applyAlignment="1">
      <alignment vertical="top" wrapText="1"/>
    </xf>
    <xf numFmtId="0" fontId="10" fillId="0" borderId="30" xfId="0" applyFont="1" applyFill="1" applyBorder="1" applyAlignment="1">
      <alignment horizontal="center" vertical="top"/>
    </xf>
    <xf numFmtId="0" fontId="9" fillId="0" borderId="10" xfId="0" applyFont="1" applyFill="1" applyBorder="1" applyAlignment="1">
      <alignment vertical="top" wrapText="1"/>
    </xf>
    <xf numFmtId="0" fontId="9" fillId="0" borderId="31" xfId="0" applyFont="1" applyFill="1" applyBorder="1" applyAlignment="1">
      <alignment vertical="top" wrapText="1"/>
    </xf>
    <xf numFmtId="0" fontId="16" fillId="0" borderId="10" xfId="0" applyFont="1" applyFill="1" applyBorder="1" applyAlignment="1">
      <alignment vertical="top"/>
    </xf>
    <xf numFmtId="3" fontId="9" fillId="0" borderId="31" xfId="0" applyNumberFormat="1" applyFont="1" applyFill="1" applyBorder="1" applyAlignment="1">
      <alignment vertical="top" wrapText="1"/>
    </xf>
    <xf numFmtId="0" fontId="9" fillId="3" borderId="0" xfId="0" applyFont="1" applyFill="1"/>
    <xf numFmtId="0" fontId="10" fillId="0" borderId="30" xfId="0" applyFont="1" applyFill="1" applyBorder="1" applyAlignment="1">
      <alignment horizontal="center" vertical="top" wrapText="1"/>
    </xf>
    <xf numFmtId="0" fontId="16" fillId="0" borderId="32" xfId="0" applyFont="1" applyFill="1" applyBorder="1" applyAlignment="1">
      <alignment vertical="top" wrapText="1"/>
    </xf>
    <xf numFmtId="0" fontId="20" fillId="0" borderId="0" xfId="0" applyFont="1" applyFill="1" applyAlignment="1">
      <alignment horizontal="center" vertical="top"/>
    </xf>
    <xf numFmtId="3" fontId="4" fillId="5" borderId="10" xfId="2" applyNumberFormat="1" applyFont="1" applyFill="1" applyBorder="1" applyAlignment="1">
      <alignment horizontal="center" vertical="center" wrapText="1"/>
    </xf>
    <xf numFmtId="10" fontId="4" fillId="5" borderId="10" xfId="4" applyNumberFormat="1" applyFont="1" applyFill="1" applyBorder="1" applyAlignment="1">
      <alignment horizontal="center" vertical="center" wrapText="1"/>
    </xf>
    <xf numFmtId="0" fontId="3" fillId="5" borderId="10" xfId="2" quotePrefix="1" applyFill="1" applyBorder="1" applyAlignment="1">
      <alignment horizontal="center" vertical="center"/>
    </xf>
    <xf numFmtId="10" fontId="3" fillId="5" borderId="10" xfId="4" applyNumberFormat="1" applyFont="1" applyFill="1" applyBorder="1" applyAlignment="1">
      <alignment horizontal="center" vertical="center"/>
    </xf>
    <xf numFmtId="3" fontId="3" fillId="5" borderId="10" xfId="2" applyNumberFormat="1" applyFill="1" applyBorder="1" applyAlignment="1">
      <alignment horizontal="center" vertical="center"/>
    </xf>
    <xf numFmtId="0" fontId="16" fillId="0" borderId="10" xfId="0" applyFont="1" applyFill="1" applyBorder="1" applyAlignment="1">
      <alignment vertical="top" wrapText="1"/>
    </xf>
    <xf numFmtId="0" fontId="9" fillId="0" borderId="10" xfId="0" applyFont="1" applyFill="1" applyBorder="1" applyAlignment="1">
      <alignment vertical="center" wrapText="1"/>
    </xf>
    <xf numFmtId="0" fontId="17" fillId="0" borderId="30" xfId="0" applyFont="1" applyFill="1" applyBorder="1" applyAlignment="1">
      <alignment horizontal="center"/>
    </xf>
    <xf numFmtId="0" fontId="16" fillId="0" borderId="10" xfId="0" applyFont="1" applyFill="1" applyBorder="1"/>
    <xf numFmtId="0" fontId="16" fillId="0" borderId="31" xfId="0" applyFont="1" applyFill="1" applyBorder="1"/>
    <xf numFmtId="0" fontId="0" fillId="0" borderId="0" xfId="0"/>
    <xf numFmtId="164" fontId="0" fillId="0" borderId="0" xfId="3" applyNumberFormat="1" applyFont="1" applyAlignment="1">
      <alignment wrapText="1"/>
    </xf>
    <xf numFmtId="0" fontId="3" fillId="0" borderId="0" xfId="2" applyFont="1" applyAlignment="1">
      <alignment wrapText="1"/>
    </xf>
    <xf numFmtId="164" fontId="3" fillId="0" borderId="0" xfId="3" applyNumberFormat="1" applyFont="1" applyFill="1" applyBorder="1"/>
    <xf numFmtId="164" fontId="0" fillId="0" borderId="0" xfId="3" applyNumberFormat="1" applyFont="1" applyFill="1" applyAlignment="1">
      <alignment wrapText="1"/>
    </xf>
    <xf numFmtId="0" fontId="3" fillId="0" borderId="2" xfId="2" applyBorder="1" applyAlignment="1">
      <alignment wrapText="1"/>
    </xf>
    <xf numFmtId="164" fontId="3" fillId="0" borderId="0" xfId="2" applyNumberFormat="1" applyBorder="1" applyAlignment="1">
      <alignment wrapText="1"/>
    </xf>
    <xf numFmtId="164" fontId="3" fillId="0" borderId="5" xfId="2" applyNumberFormat="1" applyBorder="1" applyAlignment="1">
      <alignment wrapText="1"/>
    </xf>
    <xf numFmtId="165" fontId="3" fillId="0" borderId="0" xfId="2" applyNumberFormat="1" applyFont="1" applyBorder="1"/>
    <xf numFmtId="164" fontId="3" fillId="0" borderId="2" xfId="2" applyNumberFormat="1" applyBorder="1" applyAlignment="1">
      <alignment wrapText="1"/>
    </xf>
    <xf numFmtId="0" fontId="4" fillId="0" borderId="6" xfId="2" applyFont="1" applyBorder="1" applyAlignment="1">
      <alignment horizontal="center" vertical="center" wrapText="1"/>
    </xf>
    <xf numFmtId="0" fontId="4" fillId="0" borderId="7" xfId="2"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164" fontId="4" fillId="0" borderId="7" xfId="3" applyNumberFormat="1" applyFont="1" applyBorder="1" applyAlignment="1">
      <alignment horizontal="center" vertical="center" wrapText="1"/>
    </xf>
    <xf numFmtId="164" fontId="2" fillId="0" borderId="8" xfId="3" applyNumberFormat="1" applyFont="1" applyBorder="1" applyAlignment="1">
      <alignment horizontal="center" vertical="center" wrapText="1"/>
    </xf>
    <xf numFmtId="0" fontId="4" fillId="0" borderId="8" xfId="2" applyFont="1" applyBorder="1" applyAlignment="1">
      <alignment horizontal="center" vertical="center" wrapText="1"/>
    </xf>
    <xf numFmtId="0" fontId="3" fillId="0" borderId="16" xfId="2" applyBorder="1"/>
    <xf numFmtId="164" fontId="2" fillId="0" borderId="16" xfId="3" applyNumberFormat="1" applyFont="1" applyBorder="1"/>
    <xf numFmtId="165" fontId="4" fillId="0" borderId="17" xfId="2" applyNumberFormat="1" applyFont="1" applyBorder="1"/>
    <xf numFmtId="164" fontId="4" fillId="0" borderId="18" xfId="2" applyNumberFormat="1" applyFont="1" applyBorder="1" applyAlignment="1">
      <alignment wrapText="1"/>
    </xf>
    <xf numFmtId="0" fontId="9" fillId="0" borderId="0" xfId="2" applyFont="1" applyFill="1"/>
    <xf numFmtId="0" fontId="3" fillId="0" borderId="11" xfId="2" applyFont="1" applyBorder="1"/>
    <xf numFmtId="164" fontId="0" fillId="0" borderId="0" xfId="3" applyNumberFormat="1" applyFont="1" applyBorder="1"/>
    <xf numFmtId="164" fontId="2" fillId="2" borderId="17" xfId="3" applyNumberFormat="1" applyFont="1" applyFill="1" applyBorder="1"/>
    <xf numFmtId="0" fontId="3" fillId="0" borderId="0" xfId="2" applyAlignment="1">
      <alignment wrapText="1"/>
    </xf>
    <xf numFmtId="164" fontId="0" fillId="0" borderId="0" xfId="1" applyNumberFormat="1" applyFont="1" applyBorder="1"/>
    <xf numFmtId="164" fontId="3" fillId="0" borderId="0" xfId="2" applyNumberFormat="1" applyAlignment="1">
      <alignment wrapText="1"/>
    </xf>
    <xf numFmtId="0" fontId="3" fillId="0" borderId="0" xfId="2" applyBorder="1" applyAlignment="1">
      <alignment wrapText="1"/>
    </xf>
    <xf numFmtId="164" fontId="3" fillId="0" borderId="0" xfId="1" applyNumberFormat="1" applyFont="1" applyBorder="1" applyAlignment="1">
      <alignment wrapText="1"/>
    </xf>
    <xf numFmtId="0" fontId="3" fillId="0" borderId="2" xfId="2" applyFill="1" applyBorder="1"/>
    <xf numFmtId="164" fontId="3" fillId="0" borderId="0" xfId="1" applyNumberFormat="1" applyFont="1" applyBorder="1"/>
    <xf numFmtId="0" fontId="3" fillId="0" borderId="2" xfId="2" applyBorder="1"/>
    <xf numFmtId="164" fontId="2" fillId="0" borderId="7" xfId="3" applyNumberFormat="1" applyFont="1" applyBorder="1" applyAlignment="1">
      <alignment horizontal="center" wrapText="1"/>
    </xf>
    <xf numFmtId="0" fontId="6" fillId="0" borderId="9" xfId="2" applyFont="1" applyFill="1" applyBorder="1" applyAlignment="1"/>
    <xf numFmtId="0" fontId="7" fillId="0" borderId="0" xfId="2" applyFont="1" applyAlignment="1">
      <alignment wrapText="1"/>
    </xf>
    <xf numFmtId="0" fontId="4" fillId="0" borderId="16" xfId="2" applyFont="1" applyBorder="1"/>
    <xf numFmtId="164" fontId="2" fillId="0" borderId="17" xfId="3" applyNumberFormat="1" applyFont="1" applyBorder="1"/>
    <xf numFmtId="0" fontId="10" fillId="0" borderId="0" xfId="2" applyFont="1" applyFill="1"/>
    <xf numFmtId="3" fontId="9" fillId="0" borderId="0" xfId="2" applyNumberFormat="1" applyFont="1" applyFill="1"/>
    <xf numFmtId="3" fontId="11" fillId="0" borderId="0" xfId="2" applyNumberFormat="1" applyFont="1" applyFill="1"/>
    <xf numFmtId="3" fontId="10" fillId="0" borderId="0" xfId="2" applyNumberFormat="1" applyFont="1" applyFill="1"/>
    <xf numFmtId="167" fontId="9" fillId="0" borderId="0" xfId="5" applyNumberFormat="1" applyFont="1" applyFill="1"/>
    <xf numFmtId="0" fontId="10" fillId="0" borderId="10" xfId="2" applyFont="1" applyFill="1" applyBorder="1" applyAlignment="1">
      <alignment horizontal="center" wrapText="1"/>
    </xf>
    <xf numFmtId="0" fontId="10" fillId="0" borderId="11" xfId="2" applyFont="1" applyFill="1" applyBorder="1" applyAlignment="1">
      <alignment horizontal="center" wrapText="1"/>
    </xf>
    <xf numFmtId="165" fontId="9" fillId="0" borderId="11" xfId="2" applyNumberFormat="1" applyFont="1" applyFill="1" applyBorder="1"/>
    <xf numFmtId="165" fontId="9" fillId="0" borderId="11" xfId="2" applyNumberFormat="1" applyFont="1" applyFill="1" applyBorder="1" applyAlignment="1">
      <alignment horizontal="right"/>
    </xf>
    <xf numFmtId="165" fontId="9" fillId="0" borderId="11" xfId="2" applyNumberFormat="1" applyFont="1" applyFill="1" applyBorder="1" applyAlignment="1">
      <alignment vertical="center"/>
    </xf>
    <xf numFmtId="166" fontId="9" fillId="0" borderId="0" xfId="3" applyNumberFormat="1" applyFont="1" applyFill="1" applyAlignment="1">
      <alignment wrapText="1"/>
    </xf>
    <xf numFmtId="166" fontId="9" fillId="0" borderId="0" xfId="3" applyNumberFormat="1" applyFont="1" applyFill="1"/>
    <xf numFmtId="165" fontId="9" fillId="0" borderId="0" xfId="5" applyNumberFormat="1" applyFont="1" applyFill="1"/>
    <xf numFmtId="165" fontId="9" fillId="0" borderId="0" xfId="2" applyNumberFormat="1" applyFont="1" applyFill="1"/>
    <xf numFmtId="0" fontId="10" fillId="0" borderId="10" xfId="2" applyFont="1" applyFill="1" applyBorder="1" applyAlignment="1">
      <alignment horizontal="center"/>
    </xf>
    <xf numFmtId="0" fontId="10" fillId="0" borderId="2" xfId="2" applyFont="1" applyFill="1" applyBorder="1" applyAlignment="1">
      <alignment horizontal="center"/>
    </xf>
    <xf numFmtId="0" fontId="10" fillId="0" borderId="0" xfId="2" applyFont="1" applyFill="1" applyBorder="1" applyAlignment="1">
      <alignment horizontal="center"/>
    </xf>
    <xf numFmtId="0" fontId="9" fillId="0" borderId="2" xfId="2" applyFont="1" applyFill="1" applyBorder="1"/>
    <xf numFmtId="165" fontId="9" fillId="0" borderId="0" xfId="2" applyNumberFormat="1" applyFont="1" applyFill="1" applyBorder="1"/>
    <xf numFmtId="165" fontId="9" fillId="0" borderId="5" xfId="2" applyNumberFormat="1" applyFont="1" applyFill="1" applyBorder="1"/>
    <xf numFmtId="165" fontId="9" fillId="0" borderId="0" xfId="2" applyNumberFormat="1" applyFont="1" applyFill="1" applyBorder="1" applyAlignment="1">
      <alignment horizontal="right"/>
    </xf>
    <xf numFmtId="165" fontId="9" fillId="0" borderId="5" xfId="2" applyNumberFormat="1" applyFont="1" applyFill="1" applyBorder="1" applyAlignment="1">
      <alignment horizontal="right"/>
    </xf>
    <xf numFmtId="0" fontId="9" fillId="0" borderId="2" xfId="2" applyFont="1" applyFill="1" applyBorder="1" applyAlignment="1">
      <alignment vertical="center"/>
    </xf>
    <xf numFmtId="165" fontId="9" fillId="0" borderId="0" xfId="2" applyNumberFormat="1" applyFont="1" applyFill="1" applyBorder="1" applyAlignment="1">
      <alignment vertical="center"/>
    </xf>
    <xf numFmtId="0" fontId="3" fillId="0" borderId="0" xfId="2" applyFill="1" applyBorder="1"/>
    <xf numFmtId="0" fontId="3" fillId="0" borderId="0" xfId="2" applyFont="1" applyBorder="1"/>
    <xf numFmtId="0" fontId="9" fillId="0" borderId="0" xfId="0" applyFont="1" applyFill="1"/>
    <xf numFmtId="165" fontId="10" fillId="0" borderId="10" xfId="2" applyNumberFormat="1" applyFont="1" applyFill="1" applyBorder="1" applyAlignment="1">
      <alignment horizontal="center"/>
    </xf>
    <xf numFmtId="0" fontId="10" fillId="0" borderId="4" xfId="2" applyFont="1" applyFill="1" applyBorder="1" applyAlignment="1">
      <alignment horizontal="center"/>
    </xf>
    <xf numFmtId="165" fontId="10" fillId="0" borderId="5" xfId="2" applyNumberFormat="1" applyFont="1" applyFill="1" applyBorder="1" applyAlignment="1">
      <alignment horizontal="center"/>
    </xf>
    <xf numFmtId="0" fontId="10" fillId="0" borderId="12" xfId="2" applyFont="1" applyFill="1" applyBorder="1"/>
    <xf numFmtId="0" fontId="10" fillId="0" borderId="13" xfId="2" applyFont="1" applyFill="1" applyBorder="1"/>
    <xf numFmtId="0" fontId="9" fillId="0" borderId="5" xfId="2" applyFont="1" applyFill="1" applyBorder="1"/>
    <xf numFmtId="0" fontId="12" fillId="0" borderId="9" xfId="2" applyFont="1" applyFill="1" applyBorder="1"/>
    <xf numFmtId="165" fontId="9" fillId="0" borderId="2" xfId="2" applyNumberFormat="1" applyFont="1" applyFill="1" applyBorder="1"/>
    <xf numFmtId="165" fontId="9" fillId="0" borderId="2" xfId="2" applyNumberFormat="1" applyFont="1" applyFill="1" applyBorder="1" applyAlignment="1">
      <alignment vertical="center"/>
    </xf>
    <xf numFmtId="164" fontId="3" fillId="0" borderId="2" xfId="1" applyNumberFormat="1" applyFont="1" applyFill="1" applyBorder="1" applyAlignment="1">
      <alignment wrapText="1"/>
    </xf>
    <xf numFmtId="164" fontId="5" fillId="0" borderId="0" xfId="1" applyNumberFormat="1" applyFont="1" applyFill="1" applyBorder="1"/>
    <xf numFmtId="0" fontId="13" fillId="0" borderId="0" xfId="2" applyFont="1" applyFill="1"/>
    <xf numFmtId="0" fontId="9" fillId="0" borderId="0" xfId="2" applyFont="1" applyFill="1" applyAlignment="1">
      <alignment wrapText="1"/>
    </xf>
    <xf numFmtId="165" fontId="9" fillId="0" borderId="2" xfId="0" applyNumberFormat="1" applyFont="1" applyFill="1" applyBorder="1"/>
    <xf numFmtId="165" fontId="9" fillId="0" borderId="0" xfId="0" applyNumberFormat="1" applyFont="1" applyFill="1" applyBorder="1" applyAlignment="1">
      <alignment horizontal="right"/>
    </xf>
    <xf numFmtId="165" fontId="9" fillId="0" borderId="5" xfId="0" applyNumberFormat="1" applyFont="1" applyFill="1" applyBorder="1" applyAlignment="1">
      <alignment horizontal="right"/>
    </xf>
    <xf numFmtId="0" fontId="9" fillId="0" borderId="0" xfId="2" applyFont="1" applyFill="1" applyAlignment="1">
      <alignment vertical="center" wrapText="1"/>
    </xf>
    <xf numFmtId="0" fontId="9" fillId="0" borderId="2" xfId="0" applyFont="1" applyFill="1" applyBorder="1"/>
    <xf numFmtId="165" fontId="9" fillId="0" borderId="0" xfId="0" applyNumberFormat="1" applyFont="1" applyFill="1" applyBorder="1"/>
    <xf numFmtId="165" fontId="9" fillId="0" borderId="23" xfId="2" applyNumberFormat="1" applyFont="1" applyFill="1" applyBorder="1"/>
    <xf numFmtId="165" fontId="9" fillId="0" borderId="20" xfId="2" applyNumberFormat="1" applyFont="1" applyFill="1" applyBorder="1"/>
    <xf numFmtId="0" fontId="9" fillId="0" borderId="15" xfId="2" applyFont="1" applyFill="1" applyBorder="1"/>
    <xf numFmtId="165" fontId="9" fillId="0" borderId="17" xfId="2" applyNumberFormat="1" applyFont="1" applyFill="1" applyBorder="1"/>
    <xf numFmtId="165" fontId="9" fillId="0" borderId="18" xfId="2" applyNumberFormat="1" applyFont="1" applyFill="1" applyBorder="1"/>
    <xf numFmtId="165" fontId="9" fillId="0" borderId="16" xfId="2" applyNumberFormat="1" applyFont="1" applyFill="1" applyBorder="1"/>
    <xf numFmtId="165" fontId="9" fillId="0" borderId="19" xfId="2" applyNumberFormat="1" applyFont="1" applyFill="1" applyBorder="1"/>
    <xf numFmtId="164" fontId="4" fillId="0" borderId="16" xfId="2" applyNumberFormat="1" applyFont="1" applyBorder="1" applyAlignment="1">
      <alignment wrapText="1"/>
    </xf>
    <xf numFmtId="164" fontId="4" fillId="0" borderId="17" xfId="2" applyNumberFormat="1" applyFont="1" applyBorder="1" applyAlignment="1">
      <alignment wrapText="1"/>
    </xf>
    <xf numFmtId="0" fontId="7" fillId="0" borderId="1" xfId="2" applyFont="1" applyBorder="1" applyAlignment="1">
      <alignment wrapText="1"/>
    </xf>
    <xf numFmtId="0" fontId="3" fillId="0" borderId="11" xfId="2" applyFill="1" applyBorder="1"/>
    <xf numFmtId="0" fontId="7" fillId="0" borderId="0" xfId="2" applyFont="1" applyBorder="1" applyAlignment="1">
      <alignment wrapText="1"/>
    </xf>
    <xf numFmtId="0" fontId="4" fillId="0" borderId="11" xfId="2" applyFont="1" applyBorder="1" applyAlignment="1">
      <alignment horizontal="center" vertical="center" wrapText="1"/>
    </xf>
    <xf numFmtId="0" fontId="3" fillId="0" borderId="11" xfId="2" applyBorder="1"/>
    <xf numFmtId="0" fontId="3" fillId="0" borderId="24" xfId="2" applyBorder="1" applyAlignment="1">
      <alignment wrapText="1"/>
    </xf>
    <xf numFmtId="164" fontId="4" fillId="0" borderId="0" xfId="2" applyNumberFormat="1" applyFont="1" applyFill="1" applyAlignment="1">
      <alignment wrapText="1"/>
    </xf>
    <xf numFmtId="164" fontId="5" fillId="0" borderId="0" xfId="3" applyNumberFormat="1" applyFont="1" applyFill="1" applyBorder="1"/>
    <xf numFmtId="0" fontId="7" fillId="0" borderId="0" xfId="2" applyFont="1" applyBorder="1" applyAlignment="1">
      <alignment horizontal="center" wrapText="1"/>
    </xf>
    <xf numFmtId="0" fontId="4" fillId="0" borderId="0" xfId="2" applyFont="1" applyBorder="1" applyAlignment="1">
      <alignment horizontal="center" vertical="center" wrapText="1"/>
    </xf>
    <xf numFmtId="164" fontId="3" fillId="0" borderId="24" xfId="2" applyNumberFormat="1" applyBorder="1" applyAlignment="1">
      <alignment wrapText="1"/>
    </xf>
    <xf numFmtId="164" fontId="3" fillId="4" borderId="0" xfId="2" applyNumberFormat="1" applyFill="1" applyAlignment="1">
      <alignment wrapText="1"/>
    </xf>
    <xf numFmtId="164" fontId="3" fillId="4" borderId="0" xfId="2" applyNumberFormat="1" applyFill="1" applyBorder="1" applyAlignment="1">
      <alignment wrapText="1"/>
    </xf>
    <xf numFmtId="165" fontId="3" fillId="4" borderId="0" xfId="2" applyNumberFormat="1" applyFont="1" applyFill="1" applyBorder="1"/>
    <xf numFmtId="1" fontId="9" fillId="0" borderId="2" xfId="0" applyNumberFormat="1" applyFont="1" applyFill="1" applyBorder="1"/>
    <xf numFmtId="0" fontId="4" fillId="0" borderId="0" xfId="2" applyFont="1" applyAlignment="1">
      <alignment horizontal="center" vertical="center" wrapText="1"/>
    </xf>
    <xf numFmtId="164" fontId="3" fillId="0" borderId="0" xfId="1" applyNumberFormat="1" applyFont="1" applyFill="1" applyBorder="1" applyAlignment="1">
      <alignment wrapText="1"/>
    </xf>
    <xf numFmtId="0" fontId="3" fillId="0" borderId="33" xfId="2" applyFont="1" applyBorder="1"/>
    <xf numFmtId="0" fontId="3" fillId="0" borderId="24" xfId="2" applyFill="1" applyBorder="1"/>
    <xf numFmtId="164" fontId="0" fillId="0" borderId="24" xfId="1" applyNumberFormat="1" applyFont="1" applyBorder="1"/>
    <xf numFmtId="165" fontId="3" fillId="0" borderId="24" xfId="2" applyNumberFormat="1" applyFont="1" applyBorder="1"/>
    <xf numFmtId="164" fontId="4" fillId="2" borderId="0" xfId="2" applyNumberFormat="1" applyFont="1" applyFill="1" applyAlignment="1">
      <alignment wrapText="1"/>
    </xf>
    <xf numFmtId="164" fontId="6" fillId="0" borderId="18" xfId="3" applyNumberFormat="1" applyFont="1" applyFill="1" applyBorder="1"/>
    <xf numFmtId="0" fontId="7" fillId="0" borderId="0" xfId="2" applyFont="1" applyFill="1" applyBorder="1" applyAlignment="1">
      <alignment wrapText="1"/>
    </xf>
    <xf numFmtId="0" fontId="4" fillId="0" borderId="0" xfId="2" applyFont="1" applyFill="1" applyBorder="1" applyAlignment="1">
      <alignment horizontal="center" vertical="center" wrapText="1"/>
    </xf>
    <xf numFmtId="164" fontId="3" fillId="0" borderId="0" xfId="2" applyNumberFormat="1" applyFill="1" applyBorder="1" applyAlignment="1">
      <alignment wrapText="1"/>
    </xf>
    <xf numFmtId="9" fontId="0" fillId="0" borderId="0" xfId="4" applyFont="1" applyFill="1" applyBorder="1"/>
    <xf numFmtId="164" fontId="0" fillId="0" borderId="0" xfId="4" applyNumberFormat="1" applyFont="1" applyFill="1" applyBorder="1"/>
    <xf numFmtId="0" fontId="3" fillId="0" borderId="0" xfId="2" applyFill="1" applyBorder="1" applyAlignment="1">
      <alignment wrapText="1"/>
    </xf>
    <xf numFmtId="164" fontId="3" fillId="0" borderId="0" xfId="1" applyNumberFormat="1" applyFont="1" applyFill="1" applyBorder="1" applyAlignment="1">
      <alignment horizontal="center" wrapText="1"/>
    </xf>
    <xf numFmtId="0" fontId="3" fillId="0" borderId="5" xfId="2" applyBorder="1" applyAlignment="1">
      <alignment wrapText="1"/>
    </xf>
    <xf numFmtId="0" fontId="4" fillId="0" borderId="0" xfId="0" applyFont="1" applyFill="1" applyBorder="1" applyAlignment="1">
      <alignment horizontal="center" vertical="center" wrapText="1"/>
    </xf>
    <xf numFmtId="165" fontId="3" fillId="0" borderId="0" xfId="2" applyNumberFormat="1" applyFont="1" applyFill="1" applyBorder="1"/>
    <xf numFmtId="164" fontId="4" fillId="0" borderId="0" xfId="2" applyNumberFormat="1" applyFont="1" applyFill="1" applyBorder="1" applyAlignment="1">
      <alignment wrapText="1"/>
    </xf>
    <xf numFmtId="164" fontId="4" fillId="0" borderId="2" xfId="2" applyNumberFormat="1" applyFont="1" applyBorder="1" applyAlignment="1">
      <alignment wrapText="1"/>
    </xf>
    <xf numFmtId="0" fontId="10" fillId="0" borderId="0" xfId="2" applyFont="1" applyFill="1" applyAlignment="1">
      <alignment wrapText="1"/>
    </xf>
    <xf numFmtId="0" fontId="12" fillId="0" borderId="0" xfId="2" applyFont="1" applyFill="1" applyAlignment="1">
      <alignment wrapText="1"/>
    </xf>
    <xf numFmtId="0" fontId="10" fillId="0" borderId="0" xfId="2" applyFont="1" applyFill="1" applyAlignment="1">
      <alignment horizontal="center" wrapText="1"/>
    </xf>
    <xf numFmtId="0" fontId="10" fillId="0" borderId="0" xfId="2" applyFont="1" applyFill="1" applyAlignment="1">
      <alignment horizontal="center"/>
    </xf>
    <xf numFmtId="0" fontId="12" fillId="0" borderId="0" xfId="2" applyFont="1" applyFill="1"/>
    <xf numFmtId="0" fontId="0" fillId="0" borderId="0" xfId="0" applyFill="1"/>
    <xf numFmtId="0" fontId="9" fillId="0" borderId="0" xfId="2" applyFont="1" applyFill="1" applyAlignment="1">
      <alignment vertical="top" wrapText="1"/>
    </xf>
    <xf numFmtId="165" fontId="9" fillId="0" borderId="0" xfId="2" applyNumberFormat="1" applyFont="1" applyFill="1" applyAlignment="1">
      <alignment vertical="center"/>
    </xf>
    <xf numFmtId="1" fontId="9" fillId="0" borderId="2" xfId="2" applyNumberFormat="1" applyFont="1" applyFill="1" applyBorder="1"/>
    <xf numFmtId="165" fontId="9" fillId="0" borderId="0" xfId="2" applyNumberFormat="1" applyFont="1" applyFill="1" applyAlignment="1">
      <alignment horizontal="right"/>
    </xf>
    <xf numFmtId="0" fontId="9" fillId="0" borderId="11" xfId="2" applyFont="1" applyFill="1" applyBorder="1"/>
    <xf numFmtId="0" fontId="9" fillId="0" borderId="24" xfId="2" applyFont="1" applyFill="1" applyBorder="1" applyAlignment="1">
      <alignment wrapText="1"/>
    </xf>
    <xf numFmtId="0" fontId="9" fillId="0" borderId="23" xfId="2" applyFont="1" applyFill="1" applyBorder="1"/>
    <xf numFmtId="0" fontId="10" fillId="0" borderId="15" xfId="2" applyFont="1" applyFill="1" applyBorder="1" applyAlignment="1">
      <alignment wrapText="1"/>
    </xf>
    <xf numFmtId="166" fontId="9" fillId="0" borderId="0" xfId="3" applyNumberFormat="1" applyFont="1" applyFill="1" applyAlignment="1"/>
    <xf numFmtId="165" fontId="9" fillId="0" borderId="21" xfId="2" applyNumberFormat="1" applyFont="1" applyFill="1" applyBorder="1"/>
    <xf numFmtId="165" fontId="10" fillId="0" borderId="21" xfId="2" applyNumberFormat="1" applyFont="1" applyFill="1" applyBorder="1"/>
    <xf numFmtId="0" fontId="22" fillId="6" borderId="46" xfId="0" applyFont="1" applyFill="1" applyBorder="1" applyAlignment="1">
      <alignment horizontal="center" vertical="center"/>
    </xf>
    <xf numFmtId="44" fontId="22" fillId="6" borderId="21" xfId="1" applyFont="1" applyFill="1" applyBorder="1" applyAlignment="1">
      <alignment horizontal="center" wrapText="1"/>
    </xf>
    <xf numFmtId="44" fontId="22" fillId="6" borderId="25" xfId="1" applyFont="1" applyFill="1" applyBorder="1" applyAlignment="1">
      <alignment horizontal="center" wrapText="1"/>
    </xf>
    <xf numFmtId="44" fontId="22" fillId="7" borderId="0" xfId="1" applyFont="1" applyFill="1" applyBorder="1" applyAlignment="1">
      <alignment horizontal="center" wrapText="1"/>
    </xf>
    <xf numFmtId="44" fontId="22" fillId="6" borderId="47" xfId="1" applyFont="1" applyFill="1" applyBorder="1" applyAlignment="1">
      <alignment horizontal="center" wrapText="1"/>
    </xf>
    <xf numFmtId="0" fontId="23" fillId="0" borderId="34" xfId="2" applyFont="1" applyBorder="1"/>
    <xf numFmtId="44" fontId="23" fillId="0" borderId="0" xfId="2" applyNumberFormat="1" applyFont="1" applyBorder="1" applyAlignment="1">
      <alignment wrapText="1"/>
    </xf>
    <xf numFmtId="44" fontId="0" fillId="0" borderId="35" xfId="1" applyFont="1" applyBorder="1" applyAlignment="1">
      <alignment wrapText="1"/>
    </xf>
    <xf numFmtId="44" fontId="0" fillId="7" borderId="0" xfId="1" applyFont="1" applyFill="1" applyBorder="1" applyAlignment="1">
      <alignment wrapText="1"/>
    </xf>
    <xf numFmtId="44" fontId="0" fillId="0" borderId="34" xfId="1" applyFont="1" applyBorder="1"/>
    <xf numFmtId="44" fontId="0" fillId="0" borderId="35" xfId="0" applyNumberFormat="1" applyBorder="1"/>
    <xf numFmtId="0" fontId="23" fillId="0" borderId="33" xfId="2" applyFont="1" applyBorder="1"/>
    <xf numFmtId="0" fontId="22" fillId="6" borderId="15" xfId="2" applyFont="1" applyFill="1" applyBorder="1"/>
    <xf numFmtId="44" fontId="22" fillId="6" borderId="24" xfId="2" applyNumberFormat="1" applyFont="1" applyFill="1" applyBorder="1" applyAlignment="1">
      <alignment wrapText="1"/>
    </xf>
    <xf numFmtId="44" fontId="22" fillId="6" borderId="48" xfId="2" applyNumberFormat="1" applyFont="1" applyFill="1" applyBorder="1" applyAlignment="1">
      <alignment wrapText="1"/>
    </xf>
    <xf numFmtId="44" fontId="22" fillId="7" borderId="0" xfId="2" applyNumberFormat="1" applyFont="1" applyFill="1" applyBorder="1" applyAlignment="1">
      <alignment wrapText="1"/>
    </xf>
    <xf numFmtId="44" fontId="22" fillId="6" borderId="33" xfId="2" applyNumberFormat="1" applyFont="1" applyFill="1" applyBorder="1" applyAlignment="1">
      <alignment wrapText="1"/>
    </xf>
    <xf numFmtId="0" fontId="8" fillId="7" borderId="0" xfId="2" applyFont="1" applyFill="1"/>
    <xf numFmtId="0" fontId="9" fillId="7" borderId="0" xfId="2" applyFont="1" applyFill="1" applyAlignment="1">
      <alignment wrapText="1"/>
    </xf>
    <xf numFmtId="0" fontId="9" fillId="7" borderId="0" xfId="2" applyFont="1" applyFill="1"/>
    <xf numFmtId="165" fontId="9" fillId="7" borderId="0" xfId="2" applyNumberFormat="1" applyFont="1" applyFill="1"/>
    <xf numFmtId="0" fontId="10" fillId="7" borderId="0" xfId="2" applyFont="1" applyFill="1"/>
    <xf numFmtId="0" fontId="10" fillId="7" borderId="0" xfId="2" applyFont="1" applyFill="1" applyAlignment="1">
      <alignment wrapText="1"/>
    </xf>
    <xf numFmtId="3" fontId="9" fillId="7" borderId="0" xfId="2" applyNumberFormat="1" applyFont="1" applyFill="1"/>
    <xf numFmtId="3" fontId="11" fillId="7" borderId="0" xfId="2" applyNumberFormat="1" applyFont="1" applyFill="1"/>
    <xf numFmtId="3" fontId="10" fillId="7" borderId="0" xfId="2" applyNumberFormat="1" applyFont="1" applyFill="1"/>
    <xf numFmtId="166" fontId="9" fillId="7" borderId="0" xfId="3" applyNumberFormat="1" applyFont="1" applyFill="1"/>
    <xf numFmtId="166" fontId="9" fillId="7" borderId="0" xfId="3" applyNumberFormat="1" applyFont="1" applyFill="1" applyAlignment="1">
      <alignment wrapText="1"/>
    </xf>
    <xf numFmtId="165" fontId="9" fillId="7" borderId="0" xfId="5" applyNumberFormat="1" applyFont="1" applyFill="1"/>
    <xf numFmtId="167" fontId="9" fillId="7" borderId="0" xfId="5" applyNumberFormat="1" applyFont="1" applyFill="1"/>
    <xf numFmtId="0" fontId="10" fillId="7" borderId="10" xfId="2" applyFont="1" applyFill="1" applyBorder="1" applyAlignment="1">
      <alignment horizontal="center"/>
    </xf>
    <xf numFmtId="0" fontId="12" fillId="7" borderId="0" xfId="2" applyFont="1" applyFill="1" applyAlignment="1">
      <alignment wrapText="1"/>
    </xf>
    <xf numFmtId="0" fontId="10" fillId="7" borderId="10" xfId="2" applyFont="1" applyFill="1" applyBorder="1" applyAlignment="1">
      <alignment horizontal="center" wrapText="1"/>
    </xf>
    <xf numFmtId="0" fontId="10" fillId="7" borderId="0" xfId="2" applyFont="1" applyFill="1" applyAlignment="1">
      <alignment horizontal="center" wrapText="1"/>
    </xf>
    <xf numFmtId="165" fontId="10" fillId="7" borderId="10" xfId="2" applyNumberFormat="1" applyFont="1" applyFill="1" applyBorder="1" applyAlignment="1">
      <alignment horizontal="center"/>
    </xf>
    <xf numFmtId="0" fontId="10" fillId="7" borderId="0" xfId="2" applyFont="1" applyFill="1" applyAlignment="1">
      <alignment horizontal="center"/>
    </xf>
    <xf numFmtId="0" fontId="10" fillId="7" borderId="4" xfId="2" applyFont="1" applyFill="1" applyBorder="1" applyAlignment="1">
      <alignment horizontal="center"/>
    </xf>
    <xf numFmtId="0" fontId="12" fillId="7" borderId="0" xfId="2" applyFont="1" applyFill="1"/>
    <xf numFmtId="0" fontId="10" fillId="7" borderId="11" xfId="2" applyFont="1" applyFill="1" applyBorder="1" applyAlignment="1">
      <alignment horizontal="center" wrapText="1"/>
    </xf>
    <xf numFmtId="0" fontId="10" fillId="7" borderId="2" xfId="2" applyFont="1" applyFill="1" applyBorder="1" applyAlignment="1">
      <alignment horizontal="center"/>
    </xf>
    <xf numFmtId="0" fontId="10" fillId="7" borderId="0" xfId="2" applyFont="1" applyFill="1" applyBorder="1" applyAlignment="1">
      <alignment horizontal="center"/>
    </xf>
    <xf numFmtId="165" fontId="10" fillId="7" borderId="5" xfId="2" applyNumberFormat="1" applyFont="1" applyFill="1" applyBorder="1" applyAlignment="1">
      <alignment horizontal="center"/>
    </xf>
    <xf numFmtId="0" fontId="12" fillId="7" borderId="9" xfId="2" applyFont="1" applyFill="1" applyBorder="1"/>
    <xf numFmtId="0" fontId="10" fillId="7" borderId="12" xfId="2" applyFont="1" applyFill="1" applyBorder="1"/>
    <xf numFmtId="0" fontId="10" fillId="7" borderId="13" xfId="2" applyFont="1" applyFill="1" applyBorder="1"/>
    <xf numFmtId="165" fontId="9" fillId="7" borderId="11" xfId="2" applyNumberFormat="1" applyFont="1" applyFill="1" applyBorder="1"/>
    <xf numFmtId="0" fontId="9" fillId="7" borderId="2" xfId="2" applyFont="1" applyFill="1" applyBorder="1"/>
    <xf numFmtId="165" fontId="9" fillId="7" borderId="0" xfId="2" applyNumberFormat="1" applyFont="1" applyFill="1" applyBorder="1"/>
    <xf numFmtId="165" fontId="9" fillId="7" borderId="5" xfId="2" applyNumberFormat="1" applyFont="1" applyFill="1" applyBorder="1"/>
    <xf numFmtId="165" fontId="9" fillId="7" borderId="2" xfId="2" applyNumberFormat="1" applyFont="1" applyFill="1" applyBorder="1"/>
    <xf numFmtId="165" fontId="9" fillId="7" borderId="11" xfId="2" applyNumberFormat="1" applyFont="1" applyFill="1" applyBorder="1" applyAlignment="1">
      <alignment horizontal="right"/>
    </xf>
    <xf numFmtId="165" fontId="9" fillId="7" borderId="0" xfId="2" applyNumberFormat="1" applyFont="1" applyFill="1" applyBorder="1" applyAlignment="1">
      <alignment horizontal="right"/>
    </xf>
    <xf numFmtId="165" fontId="9" fillId="7" borderId="5" xfId="2" applyNumberFormat="1" applyFont="1" applyFill="1" applyBorder="1" applyAlignment="1">
      <alignment horizontal="right"/>
    </xf>
    <xf numFmtId="165" fontId="9" fillId="7" borderId="2" xfId="2" applyNumberFormat="1" applyFont="1" applyFill="1" applyBorder="1" applyAlignment="1">
      <alignment horizontal="right"/>
    </xf>
    <xf numFmtId="165" fontId="9" fillId="7" borderId="5" xfId="2" applyNumberFormat="1" applyFont="1" applyFill="1" applyBorder="1" applyAlignment="1">
      <alignment vertical="center"/>
    </xf>
    <xf numFmtId="0" fontId="9" fillId="7" borderId="0" xfId="2" applyFont="1" applyFill="1" applyAlignment="1">
      <alignment vertical="top" wrapText="1"/>
    </xf>
    <xf numFmtId="0" fontId="9" fillId="7" borderId="0" xfId="2" applyFont="1" applyFill="1" applyAlignment="1">
      <alignment vertical="center" wrapText="1"/>
    </xf>
    <xf numFmtId="165" fontId="9" fillId="7" borderId="11" xfId="2" applyNumberFormat="1" applyFont="1" applyFill="1" applyBorder="1" applyAlignment="1">
      <alignment vertical="center"/>
    </xf>
    <xf numFmtId="165" fontId="9" fillId="7" borderId="0" xfId="2" applyNumberFormat="1" applyFont="1" applyFill="1" applyAlignment="1">
      <alignment vertical="center"/>
    </xf>
    <xf numFmtId="0" fontId="9" fillId="7" borderId="2" xfId="2" applyFont="1" applyFill="1" applyBorder="1" applyAlignment="1">
      <alignment vertical="center"/>
    </xf>
    <xf numFmtId="165" fontId="9" fillId="7" borderId="0" xfId="2" applyNumberFormat="1" applyFont="1" applyFill="1" applyBorder="1" applyAlignment="1">
      <alignment vertical="center"/>
    </xf>
    <xf numFmtId="165" fontId="9" fillId="7" borderId="2" xfId="2" applyNumberFormat="1" applyFont="1" applyFill="1" applyBorder="1" applyAlignment="1">
      <alignment vertical="center"/>
    </xf>
    <xf numFmtId="165" fontId="9" fillId="7" borderId="0" xfId="2" applyNumberFormat="1" applyFont="1" applyFill="1" applyAlignment="1">
      <alignment horizontal="right"/>
    </xf>
    <xf numFmtId="165" fontId="9" fillId="7" borderId="14" xfId="2" applyNumberFormat="1" applyFont="1" applyFill="1" applyBorder="1"/>
    <xf numFmtId="0" fontId="9" fillId="7" borderId="4" xfId="2" applyFont="1" applyFill="1" applyBorder="1"/>
    <xf numFmtId="165" fontId="9" fillId="7" borderId="1" xfId="2" applyNumberFormat="1" applyFont="1" applyFill="1" applyBorder="1"/>
    <xf numFmtId="165" fontId="9" fillId="7" borderId="3" xfId="2" applyNumberFormat="1" applyFont="1" applyFill="1" applyBorder="1"/>
    <xf numFmtId="165" fontId="9" fillId="7" borderId="4" xfId="2" applyNumberFormat="1" applyFont="1" applyFill="1" applyBorder="1"/>
    <xf numFmtId="0" fontId="9" fillId="7" borderId="0" xfId="2" applyFont="1" applyFill="1" applyAlignment="1"/>
    <xf numFmtId="0" fontId="9" fillId="7" borderId="0" xfId="2" applyFont="1" applyFill="1" applyBorder="1"/>
    <xf numFmtId="165" fontId="10" fillId="7" borderId="0" xfId="2" applyNumberFormat="1" applyFont="1" applyFill="1"/>
    <xf numFmtId="165" fontId="10" fillId="7" borderId="0" xfId="2" applyNumberFormat="1" applyFont="1" applyFill="1" applyAlignment="1">
      <alignment horizontal="center" wrapText="1"/>
    </xf>
    <xf numFmtId="165" fontId="10" fillId="7" borderId="0" xfId="2" applyNumberFormat="1" applyFont="1" applyFill="1" applyAlignment="1">
      <alignment horizontal="center"/>
    </xf>
    <xf numFmtId="166" fontId="9" fillId="7" borderId="0" xfId="3" applyNumberFormat="1" applyFont="1" applyFill="1" applyAlignment="1"/>
    <xf numFmtId="0" fontId="13" fillId="7" borderId="0" xfId="0" applyFont="1" applyFill="1"/>
    <xf numFmtId="0" fontId="13" fillId="7" borderId="0" xfId="2" applyFont="1" applyFill="1"/>
    <xf numFmtId="0" fontId="9" fillId="7" borderId="0" xfId="0" applyFont="1" applyFill="1"/>
    <xf numFmtId="1" fontId="9" fillId="7" borderId="2" xfId="0" applyNumberFormat="1" applyFont="1" applyFill="1" applyBorder="1"/>
    <xf numFmtId="165" fontId="9" fillId="7" borderId="2" xfId="0" applyNumberFormat="1" applyFont="1" applyFill="1" applyBorder="1"/>
    <xf numFmtId="165" fontId="9" fillId="7" borderId="0" xfId="0" applyNumberFormat="1" applyFont="1" applyFill="1" applyBorder="1" applyAlignment="1">
      <alignment horizontal="right"/>
    </xf>
    <xf numFmtId="165" fontId="9" fillId="7" borderId="5" xfId="0" applyNumberFormat="1" applyFont="1" applyFill="1" applyBorder="1" applyAlignment="1">
      <alignment horizontal="right"/>
    </xf>
    <xf numFmtId="0" fontId="9" fillId="7" borderId="2" xfId="0" applyFont="1" applyFill="1" applyBorder="1"/>
    <xf numFmtId="165" fontId="9" fillId="7" borderId="0" xfId="0" applyNumberFormat="1" applyFont="1" applyFill="1" applyBorder="1"/>
    <xf numFmtId="1" fontId="9" fillId="7" borderId="2" xfId="2" applyNumberFormat="1" applyFont="1" applyFill="1" applyBorder="1"/>
    <xf numFmtId="0" fontId="9" fillId="7" borderId="5" xfId="2" applyFont="1" applyFill="1" applyBorder="1"/>
    <xf numFmtId="0" fontId="9" fillId="7" borderId="11" xfId="2" applyFont="1" applyFill="1" applyBorder="1"/>
    <xf numFmtId="0" fontId="9" fillId="7" borderId="24" xfId="2" applyFont="1" applyFill="1" applyBorder="1" applyAlignment="1">
      <alignment wrapText="1"/>
    </xf>
    <xf numFmtId="165" fontId="9" fillId="7" borderId="23" xfId="2" applyNumberFormat="1" applyFont="1" applyFill="1" applyBorder="1"/>
    <xf numFmtId="0" fontId="9" fillId="7" borderId="23" xfId="2" applyFont="1" applyFill="1" applyBorder="1"/>
    <xf numFmtId="0" fontId="10" fillId="7" borderId="15" xfId="2" applyFont="1" applyFill="1" applyBorder="1" applyAlignment="1">
      <alignment wrapText="1"/>
    </xf>
    <xf numFmtId="165" fontId="9" fillId="7" borderId="20" xfId="2" applyNumberFormat="1" applyFont="1" applyFill="1" applyBorder="1"/>
    <xf numFmtId="165" fontId="9" fillId="7" borderId="17" xfId="2" applyNumberFormat="1" applyFont="1" applyFill="1" applyBorder="1"/>
    <xf numFmtId="0" fontId="9" fillId="7" borderId="15" xfId="2" applyFont="1" applyFill="1" applyBorder="1"/>
    <xf numFmtId="165" fontId="9" fillId="7" borderId="18" xfId="2" applyNumberFormat="1" applyFont="1" applyFill="1" applyBorder="1"/>
    <xf numFmtId="165" fontId="9" fillId="7" borderId="16" xfId="2" applyNumberFormat="1" applyFont="1" applyFill="1" applyBorder="1"/>
    <xf numFmtId="165" fontId="9" fillId="7" borderId="19" xfId="2" applyNumberFormat="1" applyFont="1" applyFill="1" applyBorder="1"/>
    <xf numFmtId="165" fontId="10" fillId="7" borderId="26" xfId="2" applyNumberFormat="1" applyFont="1" applyFill="1" applyBorder="1"/>
    <xf numFmtId="165" fontId="10" fillId="7" borderId="14" xfId="2" applyNumberFormat="1" applyFont="1" applyFill="1" applyBorder="1"/>
    <xf numFmtId="3" fontId="10" fillId="7" borderId="0" xfId="0" applyNumberFormat="1" applyFont="1" applyFill="1"/>
    <xf numFmtId="165" fontId="9" fillId="7" borderId="0" xfId="6" applyNumberFormat="1" applyFont="1" applyFill="1"/>
    <xf numFmtId="169" fontId="9" fillId="7" borderId="0" xfId="2" applyNumberFormat="1" applyFont="1" applyFill="1"/>
    <xf numFmtId="165" fontId="10" fillId="7" borderId="21" xfId="2" applyNumberFormat="1" applyFont="1" applyFill="1" applyBorder="1" applyAlignment="1">
      <alignment horizontal="center" wrapText="1"/>
    </xf>
    <xf numFmtId="165" fontId="10" fillId="7" borderId="0" xfId="2" applyNumberFormat="1" applyFont="1" applyFill="1" applyBorder="1"/>
    <xf numFmtId="3" fontId="10" fillId="7" borderId="0" xfId="13" applyNumberFormat="1" applyFont="1" applyFill="1"/>
    <xf numFmtId="166" fontId="9" fillId="7" borderId="0" xfId="15" applyNumberFormat="1" applyFont="1" applyFill="1"/>
    <xf numFmtId="166" fontId="9" fillId="7" borderId="0" xfId="15" applyNumberFormat="1" applyFont="1" applyFill="1" applyAlignment="1">
      <alignment wrapText="1"/>
    </xf>
    <xf numFmtId="0" fontId="9" fillId="7" borderId="0" xfId="13" applyFont="1" applyFill="1"/>
    <xf numFmtId="165" fontId="9" fillId="7" borderId="0" xfId="14" applyNumberFormat="1" applyFont="1" applyFill="1"/>
    <xf numFmtId="165" fontId="9" fillId="7" borderId="0" xfId="13" applyNumberFormat="1" applyFont="1" applyFill="1"/>
    <xf numFmtId="165" fontId="9" fillId="7" borderId="24" xfId="2" applyNumberFormat="1" applyFont="1" applyFill="1" applyBorder="1"/>
    <xf numFmtId="165" fontId="9" fillId="7" borderId="22" xfId="2" applyNumberFormat="1" applyFont="1" applyFill="1" applyBorder="1"/>
    <xf numFmtId="168" fontId="9" fillId="7" borderId="0" xfId="2" applyNumberFormat="1" applyFont="1" applyFill="1" applyBorder="1"/>
    <xf numFmtId="0" fontId="19" fillId="7" borderId="0" xfId="2" applyFont="1" applyFill="1"/>
    <xf numFmtId="3" fontId="14" fillId="7" borderId="0" xfId="2" applyNumberFormat="1" applyFont="1" applyFill="1" applyBorder="1"/>
    <xf numFmtId="3" fontId="9" fillId="7" borderId="0" xfId="2" applyNumberFormat="1" applyFont="1" applyFill="1" applyBorder="1"/>
    <xf numFmtId="165" fontId="10" fillId="7" borderId="17" xfId="2" applyNumberFormat="1" applyFont="1" applyFill="1" applyBorder="1"/>
    <xf numFmtId="0" fontId="10" fillId="7" borderId="15" xfId="2" applyFont="1" applyFill="1" applyBorder="1"/>
    <xf numFmtId="0" fontId="10" fillId="7" borderId="0" xfId="2" applyFont="1" applyFill="1" applyBorder="1"/>
    <xf numFmtId="3" fontId="10" fillId="7" borderId="0" xfId="2" applyNumberFormat="1" applyFont="1" applyFill="1" applyBorder="1"/>
    <xf numFmtId="3" fontId="11" fillId="7" borderId="0" xfId="2" applyNumberFormat="1" applyFont="1" applyFill="1" applyBorder="1"/>
    <xf numFmtId="0" fontId="9" fillId="7" borderId="0" xfId="2" applyFont="1" applyFill="1" applyBorder="1" applyAlignment="1">
      <alignment wrapText="1"/>
    </xf>
    <xf numFmtId="166" fontId="9" fillId="7" borderId="0" xfId="3" applyNumberFormat="1" applyFont="1" applyFill="1" applyBorder="1"/>
    <xf numFmtId="167" fontId="9" fillId="7" borderId="0" xfId="5" applyNumberFormat="1" applyFont="1" applyFill="1" applyBorder="1"/>
    <xf numFmtId="0" fontId="9" fillId="7" borderId="0" xfId="2" applyFont="1" applyFill="1" applyBorder="1" applyAlignment="1">
      <alignment horizontal="center"/>
    </xf>
    <xf numFmtId="0" fontId="10" fillId="7" borderId="0" xfId="2" applyFont="1" applyFill="1" applyBorder="1" applyAlignment="1">
      <alignment horizontal="center" wrapText="1"/>
    </xf>
    <xf numFmtId="165" fontId="10" fillId="7" borderId="0" xfId="2" applyNumberFormat="1" applyFont="1" applyFill="1" applyBorder="1" applyAlignment="1">
      <alignment horizontal="center"/>
    </xf>
    <xf numFmtId="0" fontId="12" fillId="7" borderId="0" xfId="2" applyFont="1" applyFill="1" applyBorder="1"/>
    <xf numFmtId="165" fontId="9" fillId="7" borderId="0" xfId="2" applyNumberFormat="1" applyFont="1" applyFill="1" applyBorder="1" applyAlignment="1"/>
    <xf numFmtId="0" fontId="9" fillId="7" borderId="0" xfId="2" applyFont="1" applyFill="1" applyBorder="1" applyAlignment="1">
      <alignment vertical="center"/>
    </xf>
    <xf numFmtId="165" fontId="10" fillId="7" borderId="0" xfId="2" applyNumberFormat="1" applyFont="1" applyFill="1" applyBorder="1" applyAlignment="1">
      <alignment horizontal="center" wrapText="1"/>
    </xf>
    <xf numFmtId="166" fontId="9" fillId="7" borderId="0" xfId="3" applyNumberFormat="1" applyFont="1" applyFill="1" applyBorder="1" applyAlignment="1">
      <alignment wrapText="1"/>
    </xf>
    <xf numFmtId="0" fontId="10" fillId="7" borderId="27" xfId="2" applyFont="1" applyFill="1" applyBorder="1" applyAlignment="1">
      <alignment horizontal="center"/>
    </xf>
    <xf numFmtId="0" fontId="10" fillId="7" borderId="30" xfId="2" applyFont="1" applyFill="1" applyBorder="1" applyAlignment="1">
      <alignment horizontal="center" wrapText="1"/>
    </xf>
    <xf numFmtId="0" fontId="10" fillId="7" borderId="31" xfId="2" applyFont="1" applyFill="1" applyBorder="1" applyAlignment="1">
      <alignment horizontal="center"/>
    </xf>
    <xf numFmtId="0" fontId="12" fillId="7" borderId="39" xfId="2" applyFont="1" applyFill="1" applyBorder="1"/>
    <xf numFmtId="0" fontId="10" fillId="7" borderId="40" xfId="2" applyFont="1" applyFill="1" applyBorder="1"/>
    <xf numFmtId="165" fontId="9" fillId="7" borderId="41" xfId="2" applyNumberFormat="1" applyFont="1" applyFill="1" applyBorder="1"/>
    <xf numFmtId="165" fontId="9" fillId="7" borderId="35" xfId="2" applyNumberFormat="1" applyFont="1" applyFill="1" applyBorder="1"/>
    <xf numFmtId="165" fontId="9" fillId="7" borderId="34" xfId="2" applyNumberFormat="1" applyFont="1" applyFill="1" applyBorder="1"/>
    <xf numFmtId="165" fontId="9" fillId="7" borderId="35" xfId="2" applyNumberFormat="1" applyFont="1" applyFill="1" applyBorder="1" applyAlignment="1">
      <alignment horizontal="right"/>
    </xf>
    <xf numFmtId="165" fontId="9" fillId="7" borderId="34" xfId="0" applyNumberFormat="1" applyFont="1" applyFill="1" applyBorder="1"/>
    <xf numFmtId="0" fontId="9" fillId="7" borderId="34" xfId="2" applyFont="1" applyFill="1" applyBorder="1"/>
    <xf numFmtId="165" fontId="9" fillId="7" borderId="34" xfId="2" applyNumberFormat="1" applyFont="1" applyFill="1" applyBorder="1" applyAlignment="1">
      <alignment vertical="center"/>
    </xf>
    <xf numFmtId="0" fontId="9" fillId="7" borderId="35" xfId="2" applyFont="1" applyFill="1" applyBorder="1"/>
    <xf numFmtId="0" fontId="9" fillId="7" borderId="24" xfId="2" applyFont="1" applyFill="1" applyBorder="1"/>
    <xf numFmtId="0" fontId="10" fillId="7" borderId="28" xfId="2" applyFont="1" applyFill="1" applyBorder="1" applyAlignment="1">
      <alignment horizontal="center"/>
    </xf>
    <xf numFmtId="165" fontId="10" fillId="7" borderId="29" xfId="2" applyNumberFormat="1" applyFont="1" applyFill="1" applyBorder="1" applyAlignment="1">
      <alignment horizontal="center"/>
    </xf>
    <xf numFmtId="0" fontId="10" fillId="7" borderId="34" xfId="2" applyFont="1" applyFill="1" applyBorder="1" applyAlignment="1">
      <alignment horizontal="center"/>
    </xf>
    <xf numFmtId="165" fontId="10" fillId="7" borderId="35" xfId="2" applyNumberFormat="1" applyFont="1" applyFill="1" applyBorder="1" applyAlignment="1">
      <alignment horizontal="center"/>
    </xf>
    <xf numFmtId="1" fontId="9" fillId="7" borderId="34" xfId="0" applyNumberFormat="1" applyFont="1" applyFill="1" applyBorder="1"/>
    <xf numFmtId="165" fontId="10" fillId="7" borderId="19" xfId="2" applyNumberFormat="1" applyFont="1" applyFill="1" applyBorder="1"/>
    <xf numFmtId="170" fontId="9" fillId="7" borderId="0" xfId="6" applyNumberFormat="1" applyFont="1" applyFill="1" applyBorder="1"/>
    <xf numFmtId="170" fontId="9" fillId="7" borderId="34" xfId="6" applyNumberFormat="1" applyFont="1" applyFill="1" applyBorder="1"/>
    <xf numFmtId="165" fontId="10" fillId="7" borderId="15" xfId="1" applyNumberFormat="1" applyFont="1" applyFill="1" applyBorder="1"/>
    <xf numFmtId="165" fontId="9" fillId="7" borderId="43" xfId="2" applyNumberFormat="1" applyFont="1" applyFill="1" applyBorder="1"/>
    <xf numFmtId="165" fontId="9" fillId="7" borderId="35" xfId="0" applyNumberFormat="1" applyFont="1" applyFill="1" applyBorder="1" applyAlignment="1">
      <alignment horizontal="right"/>
    </xf>
    <xf numFmtId="170" fontId="9" fillId="7" borderId="35" xfId="6" applyNumberFormat="1" applyFont="1" applyFill="1" applyBorder="1"/>
    <xf numFmtId="0" fontId="10" fillId="7" borderId="44" xfId="2" applyFont="1" applyFill="1" applyBorder="1" applyAlignment="1">
      <alignment horizontal="center" wrapText="1"/>
    </xf>
    <xf numFmtId="0" fontId="10" fillId="7" borderId="43" xfId="2" applyFont="1" applyFill="1" applyBorder="1" applyAlignment="1">
      <alignment horizontal="center" wrapText="1"/>
    </xf>
    <xf numFmtId="165" fontId="9" fillId="7" borderId="43" xfId="5" applyNumberFormat="1" applyFont="1" applyFill="1" applyBorder="1"/>
    <xf numFmtId="165" fontId="9" fillId="7" borderId="43" xfId="2" applyNumberFormat="1" applyFont="1" applyFill="1" applyBorder="1" applyAlignment="1">
      <alignment vertical="center"/>
    </xf>
    <xf numFmtId="165" fontId="9" fillId="7" borderId="43" xfId="2" applyNumberFormat="1" applyFont="1" applyFill="1" applyBorder="1" applyAlignment="1">
      <alignment horizontal="right"/>
    </xf>
    <xf numFmtId="165" fontId="9" fillId="7" borderId="45" xfId="2" applyNumberFormat="1" applyFont="1" applyFill="1" applyBorder="1"/>
    <xf numFmtId="165" fontId="9" fillId="7" borderId="36" xfId="2" applyNumberFormat="1" applyFont="1" applyFill="1" applyBorder="1"/>
    <xf numFmtId="165" fontId="10" fillId="7" borderId="42" xfId="1" applyNumberFormat="1" applyFont="1" applyFill="1" applyBorder="1"/>
    <xf numFmtId="0" fontId="4" fillId="0" borderId="0" xfId="2" applyFont="1" applyBorder="1" applyAlignment="1">
      <alignment horizontal="center" wrapText="1"/>
    </xf>
    <xf numFmtId="164" fontId="6" fillId="0" borderId="0" xfId="3" applyNumberFormat="1" applyFont="1" applyFill="1" applyBorder="1"/>
    <xf numFmtId="0" fontId="10" fillId="0" borderId="8" xfId="2" applyFont="1" applyBorder="1" applyAlignment="1">
      <alignment horizontal="center"/>
    </xf>
    <xf numFmtId="0" fontId="9" fillId="0" borderId="6" xfId="2" applyFont="1" applyBorder="1" applyAlignment="1">
      <alignment horizontal="center"/>
    </xf>
    <xf numFmtId="0" fontId="10" fillId="0" borderId="6" xfId="2" applyFont="1" applyBorder="1" applyAlignment="1">
      <alignment horizontal="center"/>
    </xf>
    <xf numFmtId="0" fontId="10" fillId="0" borderId="8" xfId="2" applyFont="1" applyFill="1" applyBorder="1" applyAlignment="1">
      <alignment horizontal="center"/>
    </xf>
    <xf numFmtId="0" fontId="9" fillId="0" borderId="6" xfId="2" applyFont="1" applyFill="1" applyBorder="1" applyAlignment="1">
      <alignment horizontal="center"/>
    </xf>
    <xf numFmtId="0" fontId="10" fillId="7" borderId="37" xfId="2" applyFont="1" applyFill="1" applyBorder="1" applyAlignment="1">
      <alignment horizontal="center"/>
    </xf>
    <xf numFmtId="0" fontId="9" fillId="7" borderId="38" xfId="2" applyFont="1" applyFill="1" applyBorder="1" applyAlignment="1">
      <alignment horizontal="center"/>
    </xf>
    <xf numFmtId="0" fontId="10" fillId="7" borderId="8" xfId="2" applyFont="1" applyFill="1" applyBorder="1" applyAlignment="1">
      <alignment horizontal="center"/>
    </xf>
    <xf numFmtId="0" fontId="9" fillId="7" borderId="6" xfId="2" applyFont="1" applyFill="1" applyBorder="1" applyAlignment="1">
      <alignment horizontal="center"/>
    </xf>
    <xf numFmtId="0" fontId="10" fillId="7" borderId="6" xfId="2" applyFont="1" applyFill="1" applyBorder="1" applyAlignment="1">
      <alignment horizontal="center"/>
    </xf>
    <xf numFmtId="0" fontId="21" fillId="0" borderId="1" xfId="2" applyFont="1" applyBorder="1" applyAlignment="1">
      <alignment horizontal="center" wrapText="1"/>
    </xf>
    <xf numFmtId="0" fontId="4" fillId="0" borderId="1" xfId="2" applyFont="1" applyBorder="1" applyAlignment="1">
      <alignment horizontal="center" wrapText="1"/>
    </xf>
    <xf numFmtId="0" fontId="18" fillId="0" borderId="0" xfId="0" applyFont="1" applyFill="1" applyAlignment="1">
      <alignment horizontal="center"/>
    </xf>
    <xf numFmtId="0" fontId="0" fillId="0" borderId="0" xfId="0" applyFill="1" applyAlignment="1">
      <alignment horizontal="center"/>
    </xf>
    <xf numFmtId="0" fontId="10" fillId="0" borderId="0" xfId="0" applyFont="1" applyFill="1" applyAlignment="1">
      <alignment vertical="top" wrapText="1"/>
    </xf>
    <xf numFmtId="0" fontId="0" fillId="0" borderId="0" xfId="0" applyFill="1" applyAlignment="1">
      <alignment vertical="top" wrapText="1"/>
    </xf>
    <xf numFmtId="165" fontId="10" fillId="5" borderId="10" xfId="2" applyNumberFormat="1" applyFont="1" applyFill="1" applyBorder="1" applyAlignment="1">
      <alignment horizontal="center" wrapText="1"/>
    </xf>
  </cellXfs>
  <cellStyles count="19">
    <cellStyle name="Comma" xfId="6" builtinId="3"/>
    <cellStyle name="Comma 2" xfId="5"/>
    <cellStyle name="Comma 3" xfId="8"/>
    <cellStyle name="Comma 3 2" xfId="14"/>
    <cellStyle name="Comma 4" xfId="12"/>
    <cellStyle name="Currency" xfId="1" builtinId="4"/>
    <cellStyle name="Currency 2" xfId="3"/>
    <cellStyle name="Currency 3" xfId="9"/>
    <cellStyle name="Currency 3 2" xfId="15"/>
    <cellStyle name="Currency 4" xfId="11"/>
    <cellStyle name="Normal" xfId="0" builtinId="0"/>
    <cellStyle name="Normal 2" xfId="2"/>
    <cellStyle name="Normal 3" xfId="7"/>
    <cellStyle name="Normal 3 2" xfId="13"/>
    <cellStyle name="Normal 4" xfId="10"/>
    <cellStyle name="Percent 2" xfId="4"/>
    <cellStyle name="Percent 3" xfId="16"/>
    <cellStyle name="Percent 3 2" xfId="18"/>
    <cellStyle name="Percent 3 3"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O1521"/>
  <sheetViews>
    <sheetView topLeftCell="A1393" zoomScale="75" zoomScaleNormal="100" workbookViewId="0">
      <selection activeCell="B1414" sqref="B1414"/>
    </sheetView>
  </sheetViews>
  <sheetFormatPr defaultRowHeight="15" x14ac:dyDescent="0.2"/>
  <cols>
    <col min="1" max="1" width="9.125" style="55"/>
    <col min="2" max="2" width="39.375" style="55" customWidth="1"/>
    <col min="3" max="3" width="15" style="55" customWidth="1"/>
    <col min="4" max="4" width="2.75" style="55" customWidth="1"/>
    <col min="5" max="5" width="10.75" style="55" customWidth="1"/>
    <col min="6" max="6" width="15.25" style="55" customWidth="1"/>
    <col min="7" max="7" width="14.25" style="55" customWidth="1"/>
    <col min="8" max="8" width="14.125" style="55" customWidth="1"/>
    <col min="9" max="9" width="2.75" style="55" customWidth="1"/>
    <col min="10" max="10" width="15.875" style="55" customWidth="1"/>
    <col min="11" max="11" width="17.25" style="55" customWidth="1"/>
    <col min="12" max="12" width="17.75" style="55" customWidth="1"/>
    <col min="13" max="13" width="11.75" style="55" bestFit="1" customWidth="1"/>
    <col min="14" max="14" width="10.25" style="55" bestFit="1" customWidth="1"/>
    <col min="15" max="15" width="14.125" style="55" bestFit="1" customWidth="1"/>
    <col min="16" max="257" width="9.125" style="55"/>
    <col min="258" max="258" width="39.375" style="55" customWidth="1"/>
    <col min="259" max="259" width="15" style="55" customWidth="1"/>
    <col min="260" max="260" width="2.75" style="55" customWidth="1"/>
    <col min="261" max="261" width="10.75" style="55" customWidth="1"/>
    <col min="262" max="262" width="15.25" style="55" customWidth="1"/>
    <col min="263" max="263" width="14.25" style="55" customWidth="1"/>
    <col min="264" max="264" width="14.125" style="55" customWidth="1"/>
    <col min="265" max="265" width="2.75" style="55" customWidth="1"/>
    <col min="266" max="266" width="15.875" style="55" customWidth="1"/>
    <col min="267" max="267" width="17.25" style="55" customWidth="1"/>
    <col min="268" max="268" width="17.75" style="55" customWidth="1"/>
    <col min="269" max="269" width="11.75" style="55" bestFit="1" customWidth="1"/>
    <col min="270" max="270" width="10.25" style="55" bestFit="1" customWidth="1"/>
    <col min="271" max="271" width="14.125" style="55" bestFit="1" customWidth="1"/>
    <col min="272" max="513" width="9.125" style="55"/>
    <col min="514" max="514" width="39.375" style="55" customWidth="1"/>
    <col min="515" max="515" width="15" style="55" customWidth="1"/>
    <col min="516" max="516" width="2.75" style="55" customWidth="1"/>
    <col min="517" max="517" width="10.75" style="55" customWidth="1"/>
    <col min="518" max="518" width="15.25" style="55" customWidth="1"/>
    <col min="519" max="519" width="14.25" style="55" customWidth="1"/>
    <col min="520" max="520" width="14.125" style="55" customWidth="1"/>
    <col min="521" max="521" width="2.75" style="55" customWidth="1"/>
    <col min="522" max="522" width="15.875" style="55" customWidth="1"/>
    <col min="523" max="523" width="17.25" style="55" customWidth="1"/>
    <col min="524" max="524" width="17.75" style="55" customWidth="1"/>
    <col min="525" max="525" width="11.75" style="55" bestFit="1" customWidth="1"/>
    <col min="526" max="526" width="10.25" style="55" bestFit="1" customWidth="1"/>
    <col min="527" max="527" width="14.125" style="55" bestFit="1" customWidth="1"/>
    <col min="528" max="769" width="9.125" style="55"/>
    <col min="770" max="770" width="39.375" style="55" customWidth="1"/>
    <col min="771" max="771" width="15" style="55" customWidth="1"/>
    <col min="772" max="772" width="2.75" style="55" customWidth="1"/>
    <col min="773" max="773" width="10.75" style="55" customWidth="1"/>
    <col min="774" max="774" width="15.25" style="55" customWidth="1"/>
    <col min="775" max="775" width="14.25" style="55" customWidth="1"/>
    <col min="776" max="776" width="14.125" style="55" customWidth="1"/>
    <col min="777" max="777" width="2.75" style="55" customWidth="1"/>
    <col min="778" max="778" width="15.875" style="55" customWidth="1"/>
    <col min="779" max="779" width="17.25" style="55" customWidth="1"/>
    <col min="780" max="780" width="17.75" style="55" customWidth="1"/>
    <col min="781" max="781" width="11.75" style="55" bestFit="1" customWidth="1"/>
    <col min="782" max="782" width="10.25" style="55" bestFit="1" customWidth="1"/>
    <col min="783" max="783" width="14.125" style="55" bestFit="1" customWidth="1"/>
    <col min="784" max="1025" width="9.125" style="55"/>
    <col min="1026" max="1026" width="39.375" style="55" customWidth="1"/>
    <col min="1027" max="1027" width="15" style="55" customWidth="1"/>
    <col min="1028" max="1028" width="2.75" style="55" customWidth="1"/>
    <col min="1029" max="1029" width="10.75" style="55" customWidth="1"/>
    <col min="1030" max="1030" width="15.25" style="55" customWidth="1"/>
    <col min="1031" max="1031" width="14.25" style="55" customWidth="1"/>
    <col min="1032" max="1032" width="14.125" style="55" customWidth="1"/>
    <col min="1033" max="1033" width="2.75" style="55" customWidth="1"/>
    <col min="1034" max="1034" width="15.875" style="55" customWidth="1"/>
    <col min="1035" max="1035" width="17.25" style="55" customWidth="1"/>
    <col min="1036" max="1036" width="17.75" style="55" customWidth="1"/>
    <col min="1037" max="1037" width="11.75" style="55" bestFit="1" customWidth="1"/>
    <col min="1038" max="1038" width="10.25" style="55" bestFit="1" customWidth="1"/>
    <col min="1039" max="1039" width="14.125" style="55" bestFit="1" customWidth="1"/>
    <col min="1040" max="1281" width="9.125" style="55"/>
    <col min="1282" max="1282" width="39.375" style="55" customWidth="1"/>
    <col min="1283" max="1283" width="15" style="55" customWidth="1"/>
    <col min="1284" max="1284" width="2.75" style="55" customWidth="1"/>
    <col min="1285" max="1285" width="10.75" style="55" customWidth="1"/>
    <col min="1286" max="1286" width="15.25" style="55" customWidth="1"/>
    <col min="1287" max="1287" width="14.25" style="55" customWidth="1"/>
    <col min="1288" max="1288" width="14.125" style="55" customWidth="1"/>
    <col min="1289" max="1289" width="2.75" style="55" customWidth="1"/>
    <col min="1290" max="1290" width="15.875" style="55" customWidth="1"/>
    <col min="1291" max="1291" width="17.25" style="55" customWidth="1"/>
    <col min="1292" max="1292" width="17.75" style="55" customWidth="1"/>
    <col min="1293" max="1293" width="11.75" style="55" bestFit="1" customWidth="1"/>
    <col min="1294" max="1294" width="10.25" style="55" bestFit="1" customWidth="1"/>
    <col min="1295" max="1295" width="14.125" style="55" bestFit="1" customWidth="1"/>
    <col min="1296" max="1537" width="9.125" style="55"/>
    <col min="1538" max="1538" width="39.375" style="55" customWidth="1"/>
    <col min="1539" max="1539" width="15" style="55" customWidth="1"/>
    <col min="1540" max="1540" width="2.75" style="55" customWidth="1"/>
    <col min="1541" max="1541" width="10.75" style="55" customWidth="1"/>
    <col min="1542" max="1542" width="15.25" style="55" customWidth="1"/>
    <col min="1543" max="1543" width="14.25" style="55" customWidth="1"/>
    <col min="1544" max="1544" width="14.125" style="55" customWidth="1"/>
    <col min="1545" max="1545" width="2.75" style="55" customWidth="1"/>
    <col min="1546" max="1546" width="15.875" style="55" customWidth="1"/>
    <col min="1547" max="1547" width="17.25" style="55" customWidth="1"/>
    <col min="1548" max="1548" width="17.75" style="55" customWidth="1"/>
    <col min="1549" max="1549" width="11.75" style="55" bestFit="1" customWidth="1"/>
    <col min="1550" max="1550" width="10.25" style="55" bestFit="1" customWidth="1"/>
    <col min="1551" max="1551" width="14.125" style="55" bestFit="1" customWidth="1"/>
    <col min="1552" max="1793" width="9.125" style="55"/>
    <col min="1794" max="1794" width="39.375" style="55" customWidth="1"/>
    <col min="1795" max="1795" width="15" style="55" customWidth="1"/>
    <col min="1796" max="1796" width="2.75" style="55" customWidth="1"/>
    <col min="1797" max="1797" width="10.75" style="55" customWidth="1"/>
    <col min="1798" max="1798" width="15.25" style="55" customWidth="1"/>
    <col min="1799" max="1799" width="14.25" style="55" customWidth="1"/>
    <col min="1800" max="1800" width="14.125" style="55" customWidth="1"/>
    <col min="1801" max="1801" width="2.75" style="55" customWidth="1"/>
    <col min="1802" max="1802" width="15.875" style="55" customWidth="1"/>
    <col min="1803" max="1803" width="17.25" style="55" customWidth="1"/>
    <col min="1804" max="1804" width="17.75" style="55" customWidth="1"/>
    <col min="1805" max="1805" width="11.75" style="55" bestFit="1" customWidth="1"/>
    <col min="1806" max="1806" width="10.25" style="55" bestFit="1" customWidth="1"/>
    <col min="1807" max="1807" width="14.125" style="55" bestFit="1" customWidth="1"/>
    <col min="1808" max="2049" width="9.125" style="55"/>
    <col min="2050" max="2050" width="39.375" style="55" customWidth="1"/>
    <col min="2051" max="2051" width="15" style="55" customWidth="1"/>
    <col min="2052" max="2052" width="2.75" style="55" customWidth="1"/>
    <col min="2053" max="2053" width="10.75" style="55" customWidth="1"/>
    <col min="2054" max="2054" width="15.25" style="55" customWidth="1"/>
    <col min="2055" max="2055" width="14.25" style="55" customWidth="1"/>
    <col min="2056" max="2056" width="14.125" style="55" customWidth="1"/>
    <col min="2057" max="2057" width="2.75" style="55" customWidth="1"/>
    <col min="2058" max="2058" width="15.875" style="55" customWidth="1"/>
    <col min="2059" max="2059" width="17.25" style="55" customWidth="1"/>
    <col min="2060" max="2060" width="17.75" style="55" customWidth="1"/>
    <col min="2061" max="2061" width="11.75" style="55" bestFit="1" customWidth="1"/>
    <col min="2062" max="2062" width="10.25" style="55" bestFit="1" customWidth="1"/>
    <col min="2063" max="2063" width="14.125" style="55" bestFit="1" customWidth="1"/>
    <col min="2064" max="2305" width="9.125" style="55"/>
    <col min="2306" max="2306" width="39.375" style="55" customWidth="1"/>
    <col min="2307" max="2307" width="15" style="55" customWidth="1"/>
    <col min="2308" max="2308" width="2.75" style="55" customWidth="1"/>
    <col min="2309" max="2309" width="10.75" style="55" customWidth="1"/>
    <col min="2310" max="2310" width="15.25" style="55" customWidth="1"/>
    <col min="2311" max="2311" width="14.25" style="55" customWidth="1"/>
    <col min="2312" max="2312" width="14.125" style="55" customWidth="1"/>
    <col min="2313" max="2313" width="2.75" style="55" customWidth="1"/>
    <col min="2314" max="2314" width="15.875" style="55" customWidth="1"/>
    <col min="2315" max="2315" width="17.25" style="55" customWidth="1"/>
    <col min="2316" max="2316" width="17.75" style="55" customWidth="1"/>
    <col min="2317" max="2317" width="11.75" style="55" bestFit="1" customWidth="1"/>
    <col min="2318" max="2318" width="10.25" style="55" bestFit="1" customWidth="1"/>
    <col min="2319" max="2319" width="14.125" style="55" bestFit="1" customWidth="1"/>
    <col min="2320" max="2561" width="9.125" style="55"/>
    <col min="2562" max="2562" width="39.375" style="55" customWidth="1"/>
    <col min="2563" max="2563" width="15" style="55" customWidth="1"/>
    <col min="2564" max="2564" width="2.75" style="55" customWidth="1"/>
    <col min="2565" max="2565" width="10.75" style="55" customWidth="1"/>
    <col min="2566" max="2566" width="15.25" style="55" customWidth="1"/>
    <col min="2567" max="2567" width="14.25" style="55" customWidth="1"/>
    <col min="2568" max="2568" width="14.125" style="55" customWidth="1"/>
    <col min="2569" max="2569" width="2.75" style="55" customWidth="1"/>
    <col min="2570" max="2570" width="15.875" style="55" customWidth="1"/>
    <col min="2571" max="2571" width="17.25" style="55" customWidth="1"/>
    <col min="2572" max="2572" width="17.75" style="55" customWidth="1"/>
    <col min="2573" max="2573" width="11.75" style="55" bestFit="1" customWidth="1"/>
    <col min="2574" max="2574" width="10.25" style="55" bestFit="1" customWidth="1"/>
    <col min="2575" max="2575" width="14.125" style="55" bestFit="1" customWidth="1"/>
    <col min="2576" max="2817" width="9.125" style="55"/>
    <col min="2818" max="2818" width="39.375" style="55" customWidth="1"/>
    <col min="2819" max="2819" width="15" style="55" customWidth="1"/>
    <col min="2820" max="2820" width="2.75" style="55" customWidth="1"/>
    <col min="2821" max="2821" width="10.75" style="55" customWidth="1"/>
    <col min="2822" max="2822" width="15.25" style="55" customWidth="1"/>
    <col min="2823" max="2823" width="14.25" style="55" customWidth="1"/>
    <col min="2824" max="2824" width="14.125" style="55" customWidth="1"/>
    <col min="2825" max="2825" width="2.75" style="55" customWidth="1"/>
    <col min="2826" max="2826" width="15.875" style="55" customWidth="1"/>
    <col min="2827" max="2827" width="17.25" style="55" customWidth="1"/>
    <col min="2828" max="2828" width="17.75" style="55" customWidth="1"/>
    <col min="2829" max="2829" width="11.75" style="55" bestFit="1" customWidth="1"/>
    <col min="2830" max="2830" width="10.25" style="55" bestFit="1" customWidth="1"/>
    <col min="2831" max="2831" width="14.125" style="55" bestFit="1" customWidth="1"/>
    <col min="2832" max="3073" width="9.125" style="55"/>
    <col min="3074" max="3074" width="39.375" style="55" customWidth="1"/>
    <col min="3075" max="3075" width="15" style="55" customWidth="1"/>
    <col min="3076" max="3076" width="2.75" style="55" customWidth="1"/>
    <col min="3077" max="3077" width="10.75" style="55" customWidth="1"/>
    <col min="3078" max="3078" width="15.25" style="55" customWidth="1"/>
    <col min="3079" max="3079" width="14.25" style="55" customWidth="1"/>
    <col min="3080" max="3080" width="14.125" style="55" customWidth="1"/>
    <col min="3081" max="3081" width="2.75" style="55" customWidth="1"/>
    <col min="3082" max="3082" width="15.875" style="55" customWidth="1"/>
    <col min="3083" max="3083" width="17.25" style="55" customWidth="1"/>
    <col min="3084" max="3084" width="17.75" style="55" customWidth="1"/>
    <col min="3085" max="3085" width="11.75" style="55" bestFit="1" customWidth="1"/>
    <col min="3086" max="3086" width="10.25" style="55" bestFit="1" customWidth="1"/>
    <col min="3087" max="3087" width="14.125" style="55" bestFit="1" customWidth="1"/>
    <col min="3088" max="3329" width="9.125" style="55"/>
    <col min="3330" max="3330" width="39.375" style="55" customWidth="1"/>
    <col min="3331" max="3331" width="15" style="55" customWidth="1"/>
    <col min="3332" max="3332" width="2.75" style="55" customWidth="1"/>
    <col min="3333" max="3333" width="10.75" style="55" customWidth="1"/>
    <col min="3334" max="3334" width="15.25" style="55" customWidth="1"/>
    <col min="3335" max="3335" width="14.25" style="55" customWidth="1"/>
    <col min="3336" max="3336" width="14.125" style="55" customWidth="1"/>
    <col min="3337" max="3337" width="2.75" style="55" customWidth="1"/>
    <col min="3338" max="3338" width="15.875" style="55" customWidth="1"/>
    <col min="3339" max="3339" width="17.25" style="55" customWidth="1"/>
    <col min="3340" max="3340" width="17.75" style="55" customWidth="1"/>
    <col min="3341" max="3341" width="11.75" style="55" bestFit="1" customWidth="1"/>
    <col min="3342" max="3342" width="10.25" style="55" bestFit="1" customWidth="1"/>
    <col min="3343" max="3343" width="14.125" style="55" bestFit="1" customWidth="1"/>
    <col min="3344" max="3585" width="9.125" style="55"/>
    <col min="3586" max="3586" width="39.375" style="55" customWidth="1"/>
    <col min="3587" max="3587" width="15" style="55" customWidth="1"/>
    <col min="3588" max="3588" width="2.75" style="55" customWidth="1"/>
    <col min="3589" max="3589" width="10.75" style="55" customWidth="1"/>
    <col min="3590" max="3590" width="15.25" style="55" customWidth="1"/>
    <col min="3591" max="3591" width="14.25" style="55" customWidth="1"/>
    <col min="3592" max="3592" width="14.125" style="55" customWidth="1"/>
    <col min="3593" max="3593" width="2.75" style="55" customWidth="1"/>
    <col min="3594" max="3594" width="15.875" style="55" customWidth="1"/>
    <col min="3595" max="3595" width="17.25" style="55" customWidth="1"/>
    <col min="3596" max="3596" width="17.75" style="55" customWidth="1"/>
    <col min="3597" max="3597" width="11.75" style="55" bestFit="1" customWidth="1"/>
    <col min="3598" max="3598" width="10.25" style="55" bestFit="1" customWidth="1"/>
    <col min="3599" max="3599" width="14.125" style="55" bestFit="1" customWidth="1"/>
    <col min="3600" max="3841" width="9.125" style="55"/>
    <col min="3842" max="3842" width="39.375" style="55" customWidth="1"/>
    <col min="3843" max="3843" width="15" style="55" customWidth="1"/>
    <col min="3844" max="3844" width="2.75" style="55" customWidth="1"/>
    <col min="3845" max="3845" width="10.75" style="55" customWidth="1"/>
    <col min="3846" max="3846" width="15.25" style="55" customWidth="1"/>
    <col min="3847" max="3847" width="14.25" style="55" customWidth="1"/>
    <col min="3848" max="3848" width="14.125" style="55" customWidth="1"/>
    <col min="3849" max="3849" width="2.75" style="55" customWidth="1"/>
    <col min="3850" max="3850" width="15.875" style="55" customWidth="1"/>
    <col min="3851" max="3851" width="17.25" style="55" customWidth="1"/>
    <col min="3852" max="3852" width="17.75" style="55" customWidth="1"/>
    <col min="3853" max="3853" width="11.75" style="55" bestFit="1" customWidth="1"/>
    <col min="3854" max="3854" width="10.25" style="55" bestFit="1" customWidth="1"/>
    <col min="3855" max="3855" width="14.125" style="55" bestFit="1" customWidth="1"/>
    <col min="3856" max="4097" width="9.125" style="55"/>
    <col min="4098" max="4098" width="39.375" style="55" customWidth="1"/>
    <col min="4099" max="4099" width="15" style="55" customWidth="1"/>
    <col min="4100" max="4100" width="2.75" style="55" customWidth="1"/>
    <col min="4101" max="4101" width="10.75" style="55" customWidth="1"/>
    <col min="4102" max="4102" width="15.25" style="55" customWidth="1"/>
    <col min="4103" max="4103" width="14.25" style="55" customWidth="1"/>
    <col min="4104" max="4104" width="14.125" style="55" customWidth="1"/>
    <col min="4105" max="4105" width="2.75" style="55" customWidth="1"/>
    <col min="4106" max="4106" width="15.875" style="55" customWidth="1"/>
    <col min="4107" max="4107" width="17.25" style="55" customWidth="1"/>
    <col min="4108" max="4108" width="17.75" style="55" customWidth="1"/>
    <col min="4109" max="4109" width="11.75" style="55" bestFit="1" customWidth="1"/>
    <col min="4110" max="4110" width="10.25" style="55" bestFit="1" customWidth="1"/>
    <col min="4111" max="4111" width="14.125" style="55" bestFit="1" customWidth="1"/>
    <col min="4112" max="4353" width="9.125" style="55"/>
    <col min="4354" max="4354" width="39.375" style="55" customWidth="1"/>
    <col min="4355" max="4355" width="15" style="55" customWidth="1"/>
    <col min="4356" max="4356" width="2.75" style="55" customWidth="1"/>
    <col min="4357" max="4357" width="10.75" style="55" customWidth="1"/>
    <col min="4358" max="4358" width="15.25" style="55" customWidth="1"/>
    <col min="4359" max="4359" width="14.25" style="55" customWidth="1"/>
    <col min="4360" max="4360" width="14.125" style="55" customWidth="1"/>
    <col min="4361" max="4361" width="2.75" style="55" customWidth="1"/>
    <col min="4362" max="4362" width="15.875" style="55" customWidth="1"/>
    <col min="4363" max="4363" width="17.25" style="55" customWidth="1"/>
    <col min="4364" max="4364" width="17.75" style="55" customWidth="1"/>
    <col min="4365" max="4365" width="11.75" style="55" bestFit="1" customWidth="1"/>
    <col min="4366" max="4366" width="10.25" style="55" bestFit="1" customWidth="1"/>
    <col min="4367" max="4367" width="14.125" style="55" bestFit="1" customWidth="1"/>
    <col min="4368" max="4609" width="9.125" style="55"/>
    <col min="4610" max="4610" width="39.375" style="55" customWidth="1"/>
    <col min="4611" max="4611" width="15" style="55" customWidth="1"/>
    <col min="4612" max="4612" width="2.75" style="55" customWidth="1"/>
    <col min="4613" max="4613" width="10.75" style="55" customWidth="1"/>
    <col min="4614" max="4614" width="15.25" style="55" customWidth="1"/>
    <col min="4615" max="4615" width="14.25" style="55" customWidth="1"/>
    <col min="4616" max="4616" width="14.125" style="55" customWidth="1"/>
    <col min="4617" max="4617" width="2.75" style="55" customWidth="1"/>
    <col min="4618" max="4618" width="15.875" style="55" customWidth="1"/>
    <col min="4619" max="4619" width="17.25" style="55" customWidth="1"/>
    <col min="4620" max="4620" width="17.75" style="55" customWidth="1"/>
    <col min="4621" max="4621" width="11.75" style="55" bestFit="1" customWidth="1"/>
    <col min="4622" max="4622" width="10.25" style="55" bestFit="1" customWidth="1"/>
    <col min="4623" max="4623" width="14.125" style="55" bestFit="1" customWidth="1"/>
    <col min="4624" max="4865" width="9.125" style="55"/>
    <col min="4866" max="4866" width="39.375" style="55" customWidth="1"/>
    <col min="4867" max="4867" width="15" style="55" customWidth="1"/>
    <col min="4868" max="4868" width="2.75" style="55" customWidth="1"/>
    <col min="4869" max="4869" width="10.75" style="55" customWidth="1"/>
    <col min="4870" max="4870" width="15.25" style="55" customWidth="1"/>
    <col min="4871" max="4871" width="14.25" style="55" customWidth="1"/>
    <col min="4872" max="4872" width="14.125" style="55" customWidth="1"/>
    <col min="4873" max="4873" width="2.75" style="55" customWidth="1"/>
    <col min="4874" max="4874" width="15.875" style="55" customWidth="1"/>
    <col min="4875" max="4875" width="17.25" style="55" customWidth="1"/>
    <col min="4876" max="4876" width="17.75" style="55" customWidth="1"/>
    <col min="4877" max="4877" width="11.75" style="55" bestFit="1" customWidth="1"/>
    <col min="4878" max="4878" width="10.25" style="55" bestFit="1" customWidth="1"/>
    <col min="4879" max="4879" width="14.125" style="55" bestFit="1" customWidth="1"/>
    <col min="4880" max="5121" width="9.125" style="55"/>
    <col min="5122" max="5122" width="39.375" style="55" customWidth="1"/>
    <col min="5123" max="5123" width="15" style="55" customWidth="1"/>
    <col min="5124" max="5124" width="2.75" style="55" customWidth="1"/>
    <col min="5125" max="5125" width="10.75" style="55" customWidth="1"/>
    <col min="5126" max="5126" width="15.25" style="55" customWidth="1"/>
    <col min="5127" max="5127" width="14.25" style="55" customWidth="1"/>
    <col min="5128" max="5128" width="14.125" style="55" customWidth="1"/>
    <col min="5129" max="5129" width="2.75" style="55" customWidth="1"/>
    <col min="5130" max="5130" width="15.875" style="55" customWidth="1"/>
    <col min="5131" max="5131" width="17.25" style="55" customWidth="1"/>
    <col min="5132" max="5132" width="17.75" style="55" customWidth="1"/>
    <col min="5133" max="5133" width="11.75" style="55" bestFit="1" customWidth="1"/>
    <col min="5134" max="5134" width="10.25" style="55" bestFit="1" customWidth="1"/>
    <col min="5135" max="5135" width="14.125" style="55" bestFit="1" customWidth="1"/>
    <col min="5136" max="5377" width="9.125" style="55"/>
    <col min="5378" max="5378" width="39.375" style="55" customWidth="1"/>
    <col min="5379" max="5379" width="15" style="55" customWidth="1"/>
    <col min="5380" max="5380" width="2.75" style="55" customWidth="1"/>
    <col min="5381" max="5381" width="10.75" style="55" customWidth="1"/>
    <col min="5382" max="5382" width="15.25" style="55" customWidth="1"/>
    <col min="5383" max="5383" width="14.25" style="55" customWidth="1"/>
    <col min="5384" max="5384" width="14.125" style="55" customWidth="1"/>
    <col min="5385" max="5385" width="2.75" style="55" customWidth="1"/>
    <col min="5386" max="5386" width="15.875" style="55" customWidth="1"/>
    <col min="5387" max="5387" width="17.25" style="55" customWidth="1"/>
    <col min="5388" max="5388" width="17.75" style="55" customWidth="1"/>
    <col min="5389" max="5389" width="11.75" style="55" bestFit="1" customWidth="1"/>
    <col min="5390" max="5390" width="10.25" style="55" bestFit="1" customWidth="1"/>
    <col min="5391" max="5391" width="14.125" style="55" bestFit="1" customWidth="1"/>
    <col min="5392" max="5633" width="9.125" style="55"/>
    <col min="5634" max="5634" width="39.375" style="55" customWidth="1"/>
    <col min="5635" max="5635" width="15" style="55" customWidth="1"/>
    <col min="5636" max="5636" width="2.75" style="55" customWidth="1"/>
    <col min="5637" max="5637" width="10.75" style="55" customWidth="1"/>
    <col min="5638" max="5638" width="15.25" style="55" customWidth="1"/>
    <col min="5639" max="5639" width="14.25" style="55" customWidth="1"/>
    <col min="5640" max="5640" width="14.125" style="55" customWidth="1"/>
    <col min="5641" max="5641" width="2.75" style="55" customWidth="1"/>
    <col min="5642" max="5642" width="15.875" style="55" customWidth="1"/>
    <col min="5643" max="5643" width="17.25" style="55" customWidth="1"/>
    <col min="5644" max="5644" width="17.75" style="55" customWidth="1"/>
    <col min="5645" max="5645" width="11.75" style="55" bestFit="1" customWidth="1"/>
    <col min="5646" max="5646" width="10.25" style="55" bestFit="1" customWidth="1"/>
    <col min="5647" max="5647" width="14.125" style="55" bestFit="1" customWidth="1"/>
    <col min="5648" max="5889" width="9.125" style="55"/>
    <col min="5890" max="5890" width="39.375" style="55" customWidth="1"/>
    <col min="5891" max="5891" width="15" style="55" customWidth="1"/>
    <col min="5892" max="5892" width="2.75" style="55" customWidth="1"/>
    <col min="5893" max="5893" width="10.75" style="55" customWidth="1"/>
    <col min="5894" max="5894" width="15.25" style="55" customWidth="1"/>
    <col min="5895" max="5895" width="14.25" style="55" customWidth="1"/>
    <col min="5896" max="5896" width="14.125" style="55" customWidth="1"/>
    <col min="5897" max="5897" width="2.75" style="55" customWidth="1"/>
    <col min="5898" max="5898" width="15.875" style="55" customWidth="1"/>
    <col min="5899" max="5899" width="17.25" style="55" customWidth="1"/>
    <col min="5900" max="5900" width="17.75" style="55" customWidth="1"/>
    <col min="5901" max="5901" width="11.75" style="55" bestFit="1" customWidth="1"/>
    <col min="5902" max="5902" width="10.25" style="55" bestFit="1" customWidth="1"/>
    <col min="5903" max="5903" width="14.125" style="55" bestFit="1" customWidth="1"/>
    <col min="5904" max="6145" width="9.125" style="55"/>
    <col min="6146" max="6146" width="39.375" style="55" customWidth="1"/>
    <col min="6147" max="6147" width="15" style="55" customWidth="1"/>
    <col min="6148" max="6148" width="2.75" style="55" customWidth="1"/>
    <col min="6149" max="6149" width="10.75" style="55" customWidth="1"/>
    <col min="6150" max="6150" width="15.25" style="55" customWidth="1"/>
    <col min="6151" max="6151" width="14.25" style="55" customWidth="1"/>
    <col min="6152" max="6152" width="14.125" style="55" customWidth="1"/>
    <col min="6153" max="6153" width="2.75" style="55" customWidth="1"/>
    <col min="6154" max="6154" width="15.875" style="55" customWidth="1"/>
    <col min="6155" max="6155" width="17.25" style="55" customWidth="1"/>
    <col min="6156" max="6156" width="17.75" style="55" customWidth="1"/>
    <col min="6157" max="6157" width="11.75" style="55" bestFit="1" customWidth="1"/>
    <col min="6158" max="6158" width="10.25" style="55" bestFit="1" customWidth="1"/>
    <col min="6159" max="6159" width="14.125" style="55" bestFit="1" customWidth="1"/>
    <col min="6160" max="6401" width="9.125" style="55"/>
    <col min="6402" max="6402" width="39.375" style="55" customWidth="1"/>
    <col min="6403" max="6403" width="15" style="55" customWidth="1"/>
    <col min="6404" max="6404" width="2.75" style="55" customWidth="1"/>
    <col min="6405" max="6405" width="10.75" style="55" customWidth="1"/>
    <col min="6406" max="6406" width="15.25" style="55" customWidth="1"/>
    <col min="6407" max="6407" width="14.25" style="55" customWidth="1"/>
    <col min="6408" max="6408" width="14.125" style="55" customWidth="1"/>
    <col min="6409" max="6409" width="2.75" style="55" customWidth="1"/>
    <col min="6410" max="6410" width="15.875" style="55" customWidth="1"/>
    <col min="6411" max="6411" width="17.25" style="55" customWidth="1"/>
    <col min="6412" max="6412" width="17.75" style="55" customWidth="1"/>
    <col min="6413" max="6413" width="11.75" style="55" bestFit="1" customWidth="1"/>
    <col min="6414" max="6414" width="10.25" style="55" bestFit="1" customWidth="1"/>
    <col min="6415" max="6415" width="14.125" style="55" bestFit="1" customWidth="1"/>
    <col min="6416" max="6657" width="9.125" style="55"/>
    <col min="6658" max="6658" width="39.375" style="55" customWidth="1"/>
    <col min="6659" max="6659" width="15" style="55" customWidth="1"/>
    <col min="6660" max="6660" width="2.75" style="55" customWidth="1"/>
    <col min="6661" max="6661" width="10.75" style="55" customWidth="1"/>
    <col min="6662" max="6662" width="15.25" style="55" customWidth="1"/>
    <col min="6663" max="6663" width="14.25" style="55" customWidth="1"/>
    <col min="6664" max="6664" width="14.125" style="55" customWidth="1"/>
    <col min="6665" max="6665" width="2.75" style="55" customWidth="1"/>
    <col min="6666" max="6666" width="15.875" style="55" customWidth="1"/>
    <col min="6667" max="6667" width="17.25" style="55" customWidth="1"/>
    <col min="6668" max="6668" width="17.75" style="55" customWidth="1"/>
    <col min="6669" max="6669" width="11.75" style="55" bestFit="1" customWidth="1"/>
    <col min="6670" max="6670" width="10.25" style="55" bestFit="1" customWidth="1"/>
    <col min="6671" max="6671" width="14.125" style="55" bestFit="1" customWidth="1"/>
    <col min="6672" max="6913" width="9.125" style="55"/>
    <col min="6914" max="6914" width="39.375" style="55" customWidth="1"/>
    <col min="6915" max="6915" width="15" style="55" customWidth="1"/>
    <col min="6916" max="6916" width="2.75" style="55" customWidth="1"/>
    <col min="6917" max="6917" width="10.75" style="55" customWidth="1"/>
    <col min="6918" max="6918" width="15.25" style="55" customWidth="1"/>
    <col min="6919" max="6919" width="14.25" style="55" customWidth="1"/>
    <col min="6920" max="6920" width="14.125" style="55" customWidth="1"/>
    <col min="6921" max="6921" width="2.75" style="55" customWidth="1"/>
    <col min="6922" max="6922" width="15.875" style="55" customWidth="1"/>
    <col min="6923" max="6923" width="17.25" style="55" customWidth="1"/>
    <col min="6924" max="6924" width="17.75" style="55" customWidth="1"/>
    <col min="6925" max="6925" width="11.75" style="55" bestFit="1" customWidth="1"/>
    <col min="6926" max="6926" width="10.25" style="55" bestFit="1" customWidth="1"/>
    <col min="6927" max="6927" width="14.125" style="55" bestFit="1" customWidth="1"/>
    <col min="6928" max="7169" width="9.125" style="55"/>
    <col min="7170" max="7170" width="39.375" style="55" customWidth="1"/>
    <col min="7171" max="7171" width="15" style="55" customWidth="1"/>
    <col min="7172" max="7172" width="2.75" style="55" customWidth="1"/>
    <col min="7173" max="7173" width="10.75" style="55" customWidth="1"/>
    <col min="7174" max="7174" width="15.25" style="55" customWidth="1"/>
    <col min="7175" max="7175" width="14.25" style="55" customWidth="1"/>
    <col min="7176" max="7176" width="14.125" style="55" customWidth="1"/>
    <col min="7177" max="7177" width="2.75" style="55" customWidth="1"/>
    <col min="7178" max="7178" width="15.875" style="55" customWidth="1"/>
    <col min="7179" max="7179" width="17.25" style="55" customWidth="1"/>
    <col min="7180" max="7180" width="17.75" style="55" customWidth="1"/>
    <col min="7181" max="7181" width="11.75" style="55" bestFit="1" customWidth="1"/>
    <col min="7182" max="7182" width="10.25" style="55" bestFit="1" customWidth="1"/>
    <col min="7183" max="7183" width="14.125" style="55" bestFit="1" customWidth="1"/>
    <col min="7184" max="7425" width="9.125" style="55"/>
    <col min="7426" max="7426" width="39.375" style="55" customWidth="1"/>
    <col min="7427" max="7427" width="15" style="55" customWidth="1"/>
    <col min="7428" max="7428" width="2.75" style="55" customWidth="1"/>
    <col min="7429" max="7429" width="10.75" style="55" customWidth="1"/>
    <col min="7430" max="7430" width="15.25" style="55" customWidth="1"/>
    <col min="7431" max="7431" width="14.25" style="55" customWidth="1"/>
    <col min="7432" max="7432" width="14.125" style="55" customWidth="1"/>
    <col min="7433" max="7433" width="2.75" style="55" customWidth="1"/>
    <col min="7434" max="7434" width="15.875" style="55" customWidth="1"/>
    <col min="7435" max="7435" width="17.25" style="55" customWidth="1"/>
    <col min="7436" max="7436" width="17.75" style="55" customWidth="1"/>
    <col min="7437" max="7437" width="11.75" style="55" bestFit="1" customWidth="1"/>
    <col min="7438" max="7438" width="10.25" style="55" bestFit="1" customWidth="1"/>
    <col min="7439" max="7439" width="14.125" style="55" bestFit="1" customWidth="1"/>
    <col min="7440" max="7681" width="9.125" style="55"/>
    <col min="7682" max="7682" width="39.375" style="55" customWidth="1"/>
    <col min="7683" max="7683" width="15" style="55" customWidth="1"/>
    <col min="7684" max="7684" width="2.75" style="55" customWidth="1"/>
    <col min="7685" max="7685" width="10.75" style="55" customWidth="1"/>
    <col min="7686" max="7686" width="15.25" style="55" customWidth="1"/>
    <col min="7687" max="7687" width="14.25" style="55" customWidth="1"/>
    <col min="7688" max="7688" width="14.125" style="55" customWidth="1"/>
    <col min="7689" max="7689" width="2.75" style="55" customWidth="1"/>
    <col min="7690" max="7690" width="15.875" style="55" customWidth="1"/>
    <col min="7691" max="7691" width="17.25" style="55" customWidth="1"/>
    <col min="7692" max="7692" width="17.75" style="55" customWidth="1"/>
    <col min="7693" max="7693" width="11.75" style="55" bestFit="1" customWidth="1"/>
    <col min="7694" max="7694" width="10.25" style="55" bestFit="1" customWidth="1"/>
    <col min="7695" max="7695" width="14.125" style="55" bestFit="1" customWidth="1"/>
    <col min="7696" max="7937" width="9.125" style="55"/>
    <col min="7938" max="7938" width="39.375" style="55" customWidth="1"/>
    <col min="7939" max="7939" width="15" style="55" customWidth="1"/>
    <col min="7940" max="7940" width="2.75" style="55" customWidth="1"/>
    <col min="7941" max="7941" width="10.75" style="55" customWidth="1"/>
    <col min="7942" max="7942" width="15.25" style="55" customWidth="1"/>
    <col min="7943" max="7943" width="14.25" style="55" customWidth="1"/>
    <col min="7944" max="7944" width="14.125" style="55" customWidth="1"/>
    <col min="7945" max="7945" width="2.75" style="55" customWidth="1"/>
    <col min="7946" max="7946" width="15.875" style="55" customWidth="1"/>
    <col min="7947" max="7947" width="17.25" style="55" customWidth="1"/>
    <col min="7948" max="7948" width="17.75" style="55" customWidth="1"/>
    <col min="7949" max="7949" width="11.75" style="55" bestFit="1" customWidth="1"/>
    <col min="7950" max="7950" width="10.25" style="55" bestFit="1" customWidth="1"/>
    <col min="7951" max="7951" width="14.125" style="55" bestFit="1" customWidth="1"/>
    <col min="7952" max="8193" width="9.125" style="55"/>
    <col min="8194" max="8194" width="39.375" style="55" customWidth="1"/>
    <col min="8195" max="8195" width="15" style="55" customWidth="1"/>
    <col min="8196" max="8196" width="2.75" style="55" customWidth="1"/>
    <col min="8197" max="8197" width="10.75" style="55" customWidth="1"/>
    <col min="8198" max="8198" width="15.25" style="55" customWidth="1"/>
    <col min="8199" max="8199" width="14.25" style="55" customWidth="1"/>
    <col min="8200" max="8200" width="14.125" style="55" customWidth="1"/>
    <col min="8201" max="8201" width="2.75" style="55" customWidth="1"/>
    <col min="8202" max="8202" width="15.875" style="55" customWidth="1"/>
    <col min="8203" max="8203" width="17.25" style="55" customWidth="1"/>
    <col min="8204" max="8204" width="17.75" style="55" customWidth="1"/>
    <col min="8205" max="8205" width="11.75" style="55" bestFit="1" customWidth="1"/>
    <col min="8206" max="8206" width="10.25" style="55" bestFit="1" customWidth="1"/>
    <col min="8207" max="8207" width="14.125" style="55" bestFit="1" customWidth="1"/>
    <col min="8208" max="8449" width="9.125" style="55"/>
    <col min="8450" max="8450" width="39.375" style="55" customWidth="1"/>
    <col min="8451" max="8451" width="15" style="55" customWidth="1"/>
    <col min="8452" max="8452" width="2.75" style="55" customWidth="1"/>
    <col min="8453" max="8453" width="10.75" style="55" customWidth="1"/>
    <col min="8454" max="8454" width="15.25" style="55" customWidth="1"/>
    <col min="8455" max="8455" width="14.25" style="55" customWidth="1"/>
    <col min="8456" max="8456" width="14.125" style="55" customWidth="1"/>
    <col min="8457" max="8457" width="2.75" style="55" customWidth="1"/>
    <col min="8458" max="8458" width="15.875" style="55" customWidth="1"/>
    <col min="8459" max="8459" width="17.25" style="55" customWidth="1"/>
    <col min="8460" max="8460" width="17.75" style="55" customWidth="1"/>
    <col min="8461" max="8461" width="11.75" style="55" bestFit="1" customWidth="1"/>
    <col min="8462" max="8462" width="10.25" style="55" bestFit="1" customWidth="1"/>
    <col min="8463" max="8463" width="14.125" style="55" bestFit="1" customWidth="1"/>
    <col min="8464" max="8705" width="9.125" style="55"/>
    <col min="8706" max="8706" width="39.375" style="55" customWidth="1"/>
    <col min="8707" max="8707" width="15" style="55" customWidth="1"/>
    <col min="8708" max="8708" width="2.75" style="55" customWidth="1"/>
    <col min="8709" max="8709" width="10.75" style="55" customWidth="1"/>
    <col min="8710" max="8710" width="15.25" style="55" customWidth="1"/>
    <col min="8711" max="8711" width="14.25" style="55" customWidth="1"/>
    <col min="8712" max="8712" width="14.125" style="55" customWidth="1"/>
    <col min="8713" max="8713" width="2.75" style="55" customWidth="1"/>
    <col min="8714" max="8714" width="15.875" style="55" customWidth="1"/>
    <col min="8715" max="8715" width="17.25" style="55" customWidth="1"/>
    <col min="8716" max="8716" width="17.75" style="55" customWidth="1"/>
    <col min="8717" max="8717" width="11.75" style="55" bestFit="1" customWidth="1"/>
    <col min="8718" max="8718" width="10.25" style="55" bestFit="1" customWidth="1"/>
    <col min="8719" max="8719" width="14.125" style="55" bestFit="1" customWidth="1"/>
    <col min="8720" max="8961" width="9.125" style="55"/>
    <col min="8962" max="8962" width="39.375" style="55" customWidth="1"/>
    <col min="8963" max="8963" width="15" style="55" customWidth="1"/>
    <col min="8964" max="8964" width="2.75" style="55" customWidth="1"/>
    <col min="8965" max="8965" width="10.75" style="55" customWidth="1"/>
    <col min="8966" max="8966" width="15.25" style="55" customWidth="1"/>
    <col min="8967" max="8967" width="14.25" style="55" customWidth="1"/>
    <col min="8968" max="8968" width="14.125" style="55" customWidth="1"/>
    <col min="8969" max="8969" width="2.75" style="55" customWidth="1"/>
    <col min="8970" max="8970" width="15.875" style="55" customWidth="1"/>
    <col min="8971" max="8971" width="17.25" style="55" customWidth="1"/>
    <col min="8972" max="8972" width="17.75" style="55" customWidth="1"/>
    <col min="8973" max="8973" width="11.75" style="55" bestFit="1" customWidth="1"/>
    <col min="8974" max="8974" width="10.25" style="55" bestFit="1" customWidth="1"/>
    <col min="8975" max="8975" width="14.125" style="55" bestFit="1" customWidth="1"/>
    <col min="8976" max="9217" width="9.125" style="55"/>
    <col min="9218" max="9218" width="39.375" style="55" customWidth="1"/>
    <col min="9219" max="9219" width="15" style="55" customWidth="1"/>
    <col min="9220" max="9220" width="2.75" style="55" customWidth="1"/>
    <col min="9221" max="9221" width="10.75" style="55" customWidth="1"/>
    <col min="9222" max="9222" width="15.25" style="55" customWidth="1"/>
    <col min="9223" max="9223" width="14.25" style="55" customWidth="1"/>
    <col min="9224" max="9224" width="14.125" style="55" customWidth="1"/>
    <col min="9225" max="9225" width="2.75" style="55" customWidth="1"/>
    <col min="9226" max="9226" width="15.875" style="55" customWidth="1"/>
    <col min="9227" max="9227" width="17.25" style="55" customWidth="1"/>
    <col min="9228" max="9228" width="17.75" style="55" customWidth="1"/>
    <col min="9229" max="9229" width="11.75" style="55" bestFit="1" customWidth="1"/>
    <col min="9230" max="9230" width="10.25" style="55" bestFit="1" customWidth="1"/>
    <col min="9231" max="9231" width="14.125" style="55" bestFit="1" customWidth="1"/>
    <col min="9232" max="9473" width="9.125" style="55"/>
    <col min="9474" max="9474" width="39.375" style="55" customWidth="1"/>
    <col min="9475" max="9475" width="15" style="55" customWidth="1"/>
    <col min="9476" max="9476" width="2.75" style="55" customWidth="1"/>
    <col min="9477" max="9477" width="10.75" style="55" customWidth="1"/>
    <col min="9478" max="9478" width="15.25" style="55" customWidth="1"/>
    <col min="9479" max="9479" width="14.25" style="55" customWidth="1"/>
    <col min="9480" max="9480" width="14.125" style="55" customWidth="1"/>
    <col min="9481" max="9481" width="2.75" style="55" customWidth="1"/>
    <col min="9482" max="9482" width="15.875" style="55" customWidth="1"/>
    <col min="9483" max="9483" width="17.25" style="55" customWidth="1"/>
    <col min="9484" max="9484" width="17.75" style="55" customWidth="1"/>
    <col min="9485" max="9485" width="11.75" style="55" bestFit="1" customWidth="1"/>
    <col min="9486" max="9486" width="10.25" style="55" bestFit="1" customWidth="1"/>
    <col min="9487" max="9487" width="14.125" style="55" bestFit="1" customWidth="1"/>
    <col min="9488" max="9729" width="9.125" style="55"/>
    <col min="9730" max="9730" width="39.375" style="55" customWidth="1"/>
    <col min="9731" max="9731" width="15" style="55" customWidth="1"/>
    <col min="9732" max="9732" width="2.75" style="55" customWidth="1"/>
    <col min="9733" max="9733" width="10.75" style="55" customWidth="1"/>
    <col min="9734" max="9734" width="15.25" style="55" customWidth="1"/>
    <col min="9735" max="9735" width="14.25" style="55" customWidth="1"/>
    <col min="9736" max="9736" width="14.125" style="55" customWidth="1"/>
    <col min="9737" max="9737" width="2.75" style="55" customWidth="1"/>
    <col min="9738" max="9738" width="15.875" style="55" customWidth="1"/>
    <col min="9739" max="9739" width="17.25" style="55" customWidth="1"/>
    <col min="9740" max="9740" width="17.75" style="55" customWidth="1"/>
    <col min="9741" max="9741" width="11.75" style="55" bestFit="1" customWidth="1"/>
    <col min="9742" max="9742" width="10.25" style="55" bestFit="1" customWidth="1"/>
    <col min="9743" max="9743" width="14.125" style="55" bestFit="1" customWidth="1"/>
    <col min="9744" max="9985" width="9.125" style="55"/>
    <col min="9986" max="9986" width="39.375" style="55" customWidth="1"/>
    <col min="9987" max="9987" width="15" style="55" customWidth="1"/>
    <col min="9988" max="9988" width="2.75" style="55" customWidth="1"/>
    <col min="9989" max="9989" width="10.75" style="55" customWidth="1"/>
    <col min="9990" max="9990" width="15.25" style="55" customWidth="1"/>
    <col min="9991" max="9991" width="14.25" style="55" customWidth="1"/>
    <col min="9992" max="9992" width="14.125" style="55" customWidth="1"/>
    <col min="9993" max="9993" width="2.75" style="55" customWidth="1"/>
    <col min="9994" max="9994" width="15.875" style="55" customWidth="1"/>
    <col min="9995" max="9995" width="17.25" style="55" customWidth="1"/>
    <col min="9996" max="9996" width="17.75" style="55" customWidth="1"/>
    <col min="9997" max="9997" width="11.75" style="55" bestFit="1" customWidth="1"/>
    <col min="9998" max="9998" width="10.25" style="55" bestFit="1" customWidth="1"/>
    <col min="9999" max="9999" width="14.125" style="55" bestFit="1" customWidth="1"/>
    <col min="10000" max="10241" width="9.125" style="55"/>
    <col min="10242" max="10242" width="39.375" style="55" customWidth="1"/>
    <col min="10243" max="10243" width="15" style="55" customWidth="1"/>
    <col min="10244" max="10244" width="2.75" style="55" customWidth="1"/>
    <col min="10245" max="10245" width="10.75" style="55" customWidth="1"/>
    <col min="10246" max="10246" width="15.25" style="55" customWidth="1"/>
    <col min="10247" max="10247" width="14.25" style="55" customWidth="1"/>
    <col min="10248" max="10248" width="14.125" style="55" customWidth="1"/>
    <col min="10249" max="10249" width="2.75" style="55" customWidth="1"/>
    <col min="10250" max="10250" width="15.875" style="55" customWidth="1"/>
    <col min="10251" max="10251" width="17.25" style="55" customWidth="1"/>
    <col min="10252" max="10252" width="17.75" style="55" customWidth="1"/>
    <col min="10253" max="10253" width="11.75" style="55" bestFit="1" customWidth="1"/>
    <col min="10254" max="10254" width="10.25" style="55" bestFit="1" customWidth="1"/>
    <col min="10255" max="10255" width="14.125" style="55" bestFit="1" customWidth="1"/>
    <col min="10256" max="10497" width="9.125" style="55"/>
    <col min="10498" max="10498" width="39.375" style="55" customWidth="1"/>
    <col min="10499" max="10499" width="15" style="55" customWidth="1"/>
    <col min="10500" max="10500" width="2.75" style="55" customWidth="1"/>
    <col min="10501" max="10501" width="10.75" style="55" customWidth="1"/>
    <col min="10502" max="10502" width="15.25" style="55" customWidth="1"/>
    <col min="10503" max="10503" width="14.25" style="55" customWidth="1"/>
    <col min="10504" max="10504" width="14.125" style="55" customWidth="1"/>
    <col min="10505" max="10505" width="2.75" style="55" customWidth="1"/>
    <col min="10506" max="10506" width="15.875" style="55" customWidth="1"/>
    <col min="10507" max="10507" width="17.25" style="55" customWidth="1"/>
    <col min="10508" max="10508" width="17.75" style="55" customWidth="1"/>
    <col min="10509" max="10509" width="11.75" style="55" bestFit="1" customWidth="1"/>
    <col min="10510" max="10510" width="10.25" style="55" bestFit="1" customWidth="1"/>
    <col min="10511" max="10511" width="14.125" style="55" bestFit="1" customWidth="1"/>
    <col min="10512" max="10753" width="9.125" style="55"/>
    <col min="10754" max="10754" width="39.375" style="55" customWidth="1"/>
    <col min="10755" max="10755" width="15" style="55" customWidth="1"/>
    <col min="10756" max="10756" width="2.75" style="55" customWidth="1"/>
    <col min="10757" max="10757" width="10.75" style="55" customWidth="1"/>
    <col min="10758" max="10758" width="15.25" style="55" customWidth="1"/>
    <col min="10759" max="10759" width="14.25" style="55" customWidth="1"/>
    <col min="10760" max="10760" width="14.125" style="55" customWidth="1"/>
    <col min="10761" max="10761" width="2.75" style="55" customWidth="1"/>
    <col min="10762" max="10762" width="15.875" style="55" customWidth="1"/>
    <col min="10763" max="10763" width="17.25" style="55" customWidth="1"/>
    <col min="10764" max="10764" width="17.75" style="55" customWidth="1"/>
    <col min="10765" max="10765" width="11.75" style="55" bestFit="1" customWidth="1"/>
    <col min="10766" max="10766" width="10.25" style="55" bestFit="1" customWidth="1"/>
    <col min="10767" max="10767" width="14.125" style="55" bestFit="1" customWidth="1"/>
    <col min="10768" max="11009" width="9.125" style="55"/>
    <col min="11010" max="11010" width="39.375" style="55" customWidth="1"/>
    <col min="11011" max="11011" width="15" style="55" customWidth="1"/>
    <col min="11012" max="11012" width="2.75" style="55" customWidth="1"/>
    <col min="11013" max="11013" width="10.75" style="55" customWidth="1"/>
    <col min="11014" max="11014" width="15.25" style="55" customWidth="1"/>
    <col min="11015" max="11015" width="14.25" style="55" customWidth="1"/>
    <col min="11016" max="11016" width="14.125" style="55" customWidth="1"/>
    <col min="11017" max="11017" width="2.75" style="55" customWidth="1"/>
    <col min="11018" max="11018" width="15.875" style="55" customWidth="1"/>
    <col min="11019" max="11019" width="17.25" style="55" customWidth="1"/>
    <col min="11020" max="11020" width="17.75" style="55" customWidth="1"/>
    <col min="11021" max="11021" width="11.75" style="55" bestFit="1" customWidth="1"/>
    <col min="11022" max="11022" width="10.25" style="55" bestFit="1" customWidth="1"/>
    <col min="11023" max="11023" width="14.125" style="55" bestFit="1" customWidth="1"/>
    <col min="11024" max="11265" width="9.125" style="55"/>
    <col min="11266" max="11266" width="39.375" style="55" customWidth="1"/>
    <col min="11267" max="11267" width="15" style="55" customWidth="1"/>
    <col min="11268" max="11268" width="2.75" style="55" customWidth="1"/>
    <col min="11269" max="11269" width="10.75" style="55" customWidth="1"/>
    <col min="11270" max="11270" width="15.25" style="55" customWidth="1"/>
    <col min="11271" max="11271" width="14.25" style="55" customWidth="1"/>
    <col min="11272" max="11272" width="14.125" style="55" customWidth="1"/>
    <col min="11273" max="11273" width="2.75" style="55" customWidth="1"/>
    <col min="11274" max="11274" width="15.875" style="55" customWidth="1"/>
    <col min="11275" max="11275" width="17.25" style="55" customWidth="1"/>
    <col min="11276" max="11276" width="17.75" style="55" customWidth="1"/>
    <col min="11277" max="11277" width="11.75" style="55" bestFit="1" customWidth="1"/>
    <col min="11278" max="11278" width="10.25" style="55" bestFit="1" customWidth="1"/>
    <col min="11279" max="11279" width="14.125" style="55" bestFit="1" customWidth="1"/>
    <col min="11280" max="11521" width="9.125" style="55"/>
    <col min="11522" max="11522" width="39.375" style="55" customWidth="1"/>
    <col min="11523" max="11523" width="15" style="55" customWidth="1"/>
    <col min="11524" max="11524" width="2.75" style="55" customWidth="1"/>
    <col min="11525" max="11525" width="10.75" style="55" customWidth="1"/>
    <col min="11526" max="11526" width="15.25" style="55" customWidth="1"/>
    <col min="11527" max="11527" width="14.25" style="55" customWidth="1"/>
    <col min="11528" max="11528" width="14.125" style="55" customWidth="1"/>
    <col min="11529" max="11529" width="2.75" style="55" customWidth="1"/>
    <col min="11530" max="11530" width="15.875" style="55" customWidth="1"/>
    <col min="11531" max="11531" width="17.25" style="55" customWidth="1"/>
    <col min="11532" max="11532" width="17.75" style="55" customWidth="1"/>
    <col min="11533" max="11533" width="11.75" style="55" bestFit="1" customWidth="1"/>
    <col min="11534" max="11534" width="10.25" style="55" bestFit="1" customWidth="1"/>
    <col min="11535" max="11535" width="14.125" style="55" bestFit="1" customWidth="1"/>
    <col min="11536" max="11777" width="9.125" style="55"/>
    <col min="11778" max="11778" width="39.375" style="55" customWidth="1"/>
    <col min="11779" max="11779" width="15" style="55" customWidth="1"/>
    <col min="11780" max="11780" width="2.75" style="55" customWidth="1"/>
    <col min="11781" max="11781" width="10.75" style="55" customWidth="1"/>
    <col min="11782" max="11782" width="15.25" style="55" customWidth="1"/>
    <col min="11783" max="11783" width="14.25" style="55" customWidth="1"/>
    <col min="11784" max="11784" width="14.125" style="55" customWidth="1"/>
    <col min="11785" max="11785" width="2.75" style="55" customWidth="1"/>
    <col min="11786" max="11786" width="15.875" style="55" customWidth="1"/>
    <col min="11787" max="11787" width="17.25" style="55" customWidth="1"/>
    <col min="11788" max="11788" width="17.75" style="55" customWidth="1"/>
    <col min="11789" max="11789" width="11.75" style="55" bestFit="1" customWidth="1"/>
    <col min="11790" max="11790" width="10.25" style="55" bestFit="1" customWidth="1"/>
    <col min="11791" max="11791" width="14.125" style="55" bestFit="1" customWidth="1"/>
    <col min="11792" max="12033" width="9.125" style="55"/>
    <col min="12034" max="12034" width="39.375" style="55" customWidth="1"/>
    <col min="12035" max="12035" width="15" style="55" customWidth="1"/>
    <col min="12036" max="12036" width="2.75" style="55" customWidth="1"/>
    <col min="12037" max="12037" width="10.75" style="55" customWidth="1"/>
    <col min="12038" max="12038" width="15.25" style="55" customWidth="1"/>
    <col min="12039" max="12039" width="14.25" style="55" customWidth="1"/>
    <col min="12040" max="12040" width="14.125" style="55" customWidth="1"/>
    <col min="12041" max="12041" width="2.75" style="55" customWidth="1"/>
    <col min="12042" max="12042" width="15.875" style="55" customWidth="1"/>
    <col min="12043" max="12043" width="17.25" style="55" customWidth="1"/>
    <col min="12044" max="12044" width="17.75" style="55" customWidth="1"/>
    <col min="12045" max="12045" width="11.75" style="55" bestFit="1" customWidth="1"/>
    <col min="12046" max="12046" width="10.25" style="55" bestFit="1" customWidth="1"/>
    <col min="12047" max="12047" width="14.125" style="55" bestFit="1" customWidth="1"/>
    <col min="12048" max="12289" width="9.125" style="55"/>
    <col min="12290" max="12290" width="39.375" style="55" customWidth="1"/>
    <col min="12291" max="12291" width="15" style="55" customWidth="1"/>
    <col min="12292" max="12292" width="2.75" style="55" customWidth="1"/>
    <col min="12293" max="12293" width="10.75" style="55" customWidth="1"/>
    <col min="12294" max="12294" width="15.25" style="55" customWidth="1"/>
    <col min="12295" max="12295" width="14.25" style="55" customWidth="1"/>
    <col min="12296" max="12296" width="14.125" style="55" customWidth="1"/>
    <col min="12297" max="12297" width="2.75" style="55" customWidth="1"/>
    <col min="12298" max="12298" width="15.875" style="55" customWidth="1"/>
    <col min="12299" max="12299" width="17.25" style="55" customWidth="1"/>
    <col min="12300" max="12300" width="17.75" style="55" customWidth="1"/>
    <col min="12301" max="12301" width="11.75" style="55" bestFit="1" customWidth="1"/>
    <col min="12302" max="12302" width="10.25" style="55" bestFit="1" customWidth="1"/>
    <col min="12303" max="12303" width="14.125" style="55" bestFit="1" customWidth="1"/>
    <col min="12304" max="12545" width="9.125" style="55"/>
    <col min="12546" max="12546" width="39.375" style="55" customWidth="1"/>
    <col min="12547" max="12547" width="15" style="55" customWidth="1"/>
    <col min="12548" max="12548" width="2.75" style="55" customWidth="1"/>
    <col min="12549" max="12549" width="10.75" style="55" customWidth="1"/>
    <col min="12550" max="12550" width="15.25" style="55" customWidth="1"/>
    <col min="12551" max="12551" width="14.25" style="55" customWidth="1"/>
    <col min="12552" max="12552" width="14.125" style="55" customWidth="1"/>
    <col min="12553" max="12553" width="2.75" style="55" customWidth="1"/>
    <col min="12554" max="12554" width="15.875" style="55" customWidth="1"/>
    <col min="12555" max="12555" width="17.25" style="55" customWidth="1"/>
    <col min="12556" max="12556" width="17.75" style="55" customWidth="1"/>
    <col min="12557" max="12557" width="11.75" style="55" bestFit="1" customWidth="1"/>
    <col min="12558" max="12558" width="10.25" style="55" bestFit="1" customWidth="1"/>
    <col min="12559" max="12559" width="14.125" style="55" bestFit="1" customWidth="1"/>
    <col min="12560" max="12801" width="9.125" style="55"/>
    <col min="12802" max="12802" width="39.375" style="55" customWidth="1"/>
    <col min="12803" max="12803" width="15" style="55" customWidth="1"/>
    <col min="12804" max="12804" width="2.75" style="55" customWidth="1"/>
    <col min="12805" max="12805" width="10.75" style="55" customWidth="1"/>
    <col min="12806" max="12806" width="15.25" style="55" customWidth="1"/>
    <col min="12807" max="12807" width="14.25" style="55" customWidth="1"/>
    <col min="12808" max="12808" width="14.125" style="55" customWidth="1"/>
    <col min="12809" max="12809" width="2.75" style="55" customWidth="1"/>
    <col min="12810" max="12810" width="15.875" style="55" customWidth="1"/>
    <col min="12811" max="12811" width="17.25" style="55" customWidth="1"/>
    <col min="12812" max="12812" width="17.75" style="55" customWidth="1"/>
    <col min="12813" max="12813" width="11.75" style="55" bestFit="1" customWidth="1"/>
    <col min="12814" max="12814" width="10.25" style="55" bestFit="1" customWidth="1"/>
    <col min="12815" max="12815" width="14.125" style="55" bestFit="1" customWidth="1"/>
    <col min="12816" max="13057" width="9.125" style="55"/>
    <col min="13058" max="13058" width="39.375" style="55" customWidth="1"/>
    <col min="13059" max="13059" width="15" style="55" customWidth="1"/>
    <col min="13060" max="13060" width="2.75" style="55" customWidth="1"/>
    <col min="13061" max="13061" width="10.75" style="55" customWidth="1"/>
    <col min="13062" max="13062" width="15.25" style="55" customWidth="1"/>
    <col min="13063" max="13063" width="14.25" style="55" customWidth="1"/>
    <col min="13064" max="13064" width="14.125" style="55" customWidth="1"/>
    <col min="13065" max="13065" width="2.75" style="55" customWidth="1"/>
    <col min="13066" max="13066" width="15.875" style="55" customWidth="1"/>
    <col min="13067" max="13067" width="17.25" style="55" customWidth="1"/>
    <col min="13068" max="13068" width="17.75" style="55" customWidth="1"/>
    <col min="13069" max="13069" width="11.75" style="55" bestFit="1" customWidth="1"/>
    <col min="13070" max="13070" width="10.25" style="55" bestFit="1" customWidth="1"/>
    <col min="13071" max="13071" width="14.125" style="55" bestFit="1" customWidth="1"/>
    <col min="13072" max="13313" width="9.125" style="55"/>
    <col min="13314" max="13314" width="39.375" style="55" customWidth="1"/>
    <col min="13315" max="13315" width="15" style="55" customWidth="1"/>
    <col min="13316" max="13316" width="2.75" style="55" customWidth="1"/>
    <col min="13317" max="13317" width="10.75" style="55" customWidth="1"/>
    <col min="13318" max="13318" width="15.25" style="55" customWidth="1"/>
    <col min="13319" max="13319" width="14.25" style="55" customWidth="1"/>
    <col min="13320" max="13320" width="14.125" style="55" customWidth="1"/>
    <col min="13321" max="13321" width="2.75" style="55" customWidth="1"/>
    <col min="13322" max="13322" width="15.875" style="55" customWidth="1"/>
    <col min="13323" max="13323" width="17.25" style="55" customWidth="1"/>
    <col min="13324" max="13324" width="17.75" style="55" customWidth="1"/>
    <col min="13325" max="13325" width="11.75" style="55" bestFit="1" customWidth="1"/>
    <col min="13326" max="13326" width="10.25" style="55" bestFit="1" customWidth="1"/>
    <col min="13327" max="13327" width="14.125" style="55" bestFit="1" customWidth="1"/>
    <col min="13328" max="13569" width="9.125" style="55"/>
    <col min="13570" max="13570" width="39.375" style="55" customWidth="1"/>
    <col min="13571" max="13571" width="15" style="55" customWidth="1"/>
    <col min="13572" max="13572" width="2.75" style="55" customWidth="1"/>
    <col min="13573" max="13573" width="10.75" style="55" customWidth="1"/>
    <col min="13574" max="13574" width="15.25" style="55" customWidth="1"/>
    <col min="13575" max="13575" width="14.25" style="55" customWidth="1"/>
    <col min="13576" max="13576" width="14.125" style="55" customWidth="1"/>
    <col min="13577" max="13577" width="2.75" style="55" customWidth="1"/>
    <col min="13578" max="13578" width="15.875" style="55" customWidth="1"/>
    <col min="13579" max="13579" width="17.25" style="55" customWidth="1"/>
    <col min="13580" max="13580" width="17.75" style="55" customWidth="1"/>
    <col min="13581" max="13581" width="11.75" style="55" bestFit="1" customWidth="1"/>
    <col min="13582" max="13582" width="10.25" style="55" bestFit="1" customWidth="1"/>
    <col min="13583" max="13583" width="14.125" style="55" bestFit="1" customWidth="1"/>
    <col min="13584" max="13825" width="9.125" style="55"/>
    <col min="13826" max="13826" width="39.375" style="55" customWidth="1"/>
    <col min="13827" max="13827" width="15" style="55" customWidth="1"/>
    <col min="13828" max="13828" width="2.75" style="55" customWidth="1"/>
    <col min="13829" max="13829" width="10.75" style="55" customWidth="1"/>
    <col min="13830" max="13830" width="15.25" style="55" customWidth="1"/>
    <col min="13831" max="13831" width="14.25" style="55" customWidth="1"/>
    <col min="13832" max="13832" width="14.125" style="55" customWidth="1"/>
    <col min="13833" max="13833" width="2.75" style="55" customWidth="1"/>
    <col min="13834" max="13834" width="15.875" style="55" customWidth="1"/>
    <col min="13835" max="13835" width="17.25" style="55" customWidth="1"/>
    <col min="13836" max="13836" width="17.75" style="55" customWidth="1"/>
    <col min="13837" max="13837" width="11.75" style="55" bestFit="1" customWidth="1"/>
    <col min="13838" max="13838" width="10.25" style="55" bestFit="1" customWidth="1"/>
    <col min="13839" max="13839" width="14.125" style="55" bestFit="1" customWidth="1"/>
    <col min="13840" max="14081" width="9.125" style="55"/>
    <col min="14082" max="14082" width="39.375" style="55" customWidth="1"/>
    <col min="14083" max="14083" width="15" style="55" customWidth="1"/>
    <col min="14084" max="14084" width="2.75" style="55" customWidth="1"/>
    <col min="14085" max="14085" width="10.75" style="55" customWidth="1"/>
    <col min="14086" max="14086" width="15.25" style="55" customWidth="1"/>
    <col min="14087" max="14087" width="14.25" style="55" customWidth="1"/>
    <col min="14088" max="14088" width="14.125" style="55" customWidth="1"/>
    <col min="14089" max="14089" width="2.75" style="55" customWidth="1"/>
    <col min="14090" max="14090" width="15.875" style="55" customWidth="1"/>
    <col min="14091" max="14091" width="17.25" style="55" customWidth="1"/>
    <col min="14092" max="14092" width="17.75" style="55" customWidth="1"/>
    <col min="14093" max="14093" width="11.75" style="55" bestFit="1" customWidth="1"/>
    <col min="14094" max="14094" width="10.25" style="55" bestFit="1" customWidth="1"/>
    <col min="14095" max="14095" width="14.125" style="55" bestFit="1" customWidth="1"/>
    <col min="14096" max="14337" width="9.125" style="55"/>
    <col min="14338" max="14338" width="39.375" style="55" customWidth="1"/>
    <col min="14339" max="14339" width="15" style="55" customWidth="1"/>
    <col min="14340" max="14340" width="2.75" style="55" customWidth="1"/>
    <col min="14341" max="14341" width="10.75" style="55" customWidth="1"/>
    <col min="14342" max="14342" width="15.25" style="55" customWidth="1"/>
    <col min="14343" max="14343" width="14.25" style="55" customWidth="1"/>
    <col min="14344" max="14344" width="14.125" style="55" customWidth="1"/>
    <col min="14345" max="14345" width="2.75" style="55" customWidth="1"/>
    <col min="14346" max="14346" width="15.875" style="55" customWidth="1"/>
    <col min="14347" max="14347" width="17.25" style="55" customWidth="1"/>
    <col min="14348" max="14348" width="17.75" style="55" customWidth="1"/>
    <col min="14349" max="14349" width="11.75" style="55" bestFit="1" customWidth="1"/>
    <col min="14350" max="14350" width="10.25" style="55" bestFit="1" customWidth="1"/>
    <col min="14351" max="14351" width="14.125" style="55" bestFit="1" customWidth="1"/>
    <col min="14352" max="14593" width="9.125" style="55"/>
    <col min="14594" max="14594" width="39.375" style="55" customWidth="1"/>
    <col min="14595" max="14595" width="15" style="55" customWidth="1"/>
    <col min="14596" max="14596" width="2.75" style="55" customWidth="1"/>
    <col min="14597" max="14597" width="10.75" style="55" customWidth="1"/>
    <col min="14598" max="14598" width="15.25" style="55" customWidth="1"/>
    <col min="14599" max="14599" width="14.25" style="55" customWidth="1"/>
    <col min="14600" max="14600" width="14.125" style="55" customWidth="1"/>
    <col min="14601" max="14601" width="2.75" style="55" customWidth="1"/>
    <col min="14602" max="14602" width="15.875" style="55" customWidth="1"/>
    <col min="14603" max="14603" width="17.25" style="55" customWidth="1"/>
    <col min="14604" max="14604" width="17.75" style="55" customWidth="1"/>
    <col min="14605" max="14605" width="11.75" style="55" bestFit="1" customWidth="1"/>
    <col min="14606" max="14606" width="10.25" style="55" bestFit="1" customWidth="1"/>
    <col min="14607" max="14607" width="14.125" style="55" bestFit="1" customWidth="1"/>
    <col min="14608" max="14849" width="9.125" style="55"/>
    <col min="14850" max="14850" width="39.375" style="55" customWidth="1"/>
    <col min="14851" max="14851" width="15" style="55" customWidth="1"/>
    <col min="14852" max="14852" width="2.75" style="55" customWidth="1"/>
    <col min="14853" max="14853" width="10.75" style="55" customWidth="1"/>
    <col min="14854" max="14854" width="15.25" style="55" customWidth="1"/>
    <col min="14855" max="14855" width="14.25" style="55" customWidth="1"/>
    <col min="14856" max="14856" width="14.125" style="55" customWidth="1"/>
    <col min="14857" max="14857" width="2.75" style="55" customWidth="1"/>
    <col min="14858" max="14858" width="15.875" style="55" customWidth="1"/>
    <col min="14859" max="14859" width="17.25" style="55" customWidth="1"/>
    <col min="14860" max="14860" width="17.75" style="55" customWidth="1"/>
    <col min="14861" max="14861" width="11.75" style="55" bestFit="1" customWidth="1"/>
    <col min="14862" max="14862" width="10.25" style="55" bestFit="1" customWidth="1"/>
    <col min="14863" max="14863" width="14.125" style="55" bestFit="1" customWidth="1"/>
    <col min="14864" max="15105" width="9.125" style="55"/>
    <col min="15106" max="15106" width="39.375" style="55" customWidth="1"/>
    <col min="15107" max="15107" width="15" style="55" customWidth="1"/>
    <col min="15108" max="15108" width="2.75" style="55" customWidth="1"/>
    <col min="15109" max="15109" width="10.75" style="55" customWidth="1"/>
    <col min="15110" max="15110" width="15.25" style="55" customWidth="1"/>
    <col min="15111" max="15111" width="14.25" style="55" customWidth="1"/>
    <col min="15112" max="15112" width="14.125" style="55" customWidth="1"/>
    <col min="15113" max="15113" width="2.75" style="55" customWidth="1"/>
    <col min="15114" max="15114" width="15.875" style="55" customWidth="1"/>
    <col min="15115" max="15115" width="17.25" style="55" customWidth="1"/>
    <col min="15116" max="15116" width="17.75" style="55" customWidth="1"/>
    <col min="15117" max="15117" width="11.75" style="55" bestFit="1" customWidth="1"/>
    <col min="15118" max="15118" width="10.25" style="55" bestFit="1" customWidth="1"/>
    <col min="15119" max="15119" width="14.125" style="55" bestFit="1" customWidth="1"/>
    <col min="15120" max="15361" width="9.125" style="55"/>
    <col min="15362" max="15362" width="39.375" style="55" customWidth="1"/>
    <col min="15363" max="15363" width="15" style="55" customWidth="1"/>
    <col min="15364" max="15364" width="2.75" style="55" customWidth="1"/>
    <col min="15365" max="15365" width="10.75" style="55" customWidth="1"/>
    <col min="15366" max="15366" width="15.25" style="55" customWidth="1"/>
    <col min="15367" max="15367" width="14.25" style="55" customWidth="1"/>
    <col min="15368" max="15368" width="14.125" style="55" customWidth="1"/>
    <col min="15369" max="15369" width="2.75" style="55" customWidth="1"/>
    <col min="15370" max="15370" width="15.875" style="55" customWidth="1"/>
    <col min="15371" max="15371" width="17.25" style="55" customWidth="1"/>
    <col min="15372" max="15372" width="17.75" style="55" customWidth="1"/>
    <col min="15373" max="15373" width="11.75" style="55" bestFit="1" customWidth="1"/>
    <col min="15374" max="15374" width="10.25" style="55" bestFit="1" customWidth="1"/>
    <col min="15375" max="15375" width="14.125" style="55" bestFit="1" customWidth="1"/>
    <col min="15376" max="15617" width="9.125" style="55"/>
    <col min="15618" max="15618" width="39.375" style="55" customWidth="1"/>
    <col min="15619" max="15619" width="15" style="55" customWidth="1"/>
    <col min="15620" max="15620" width="2.75" style="55" customWidth="1"/>
    <col min="15621" max="15621" width="10.75" style="55" customWidth="1"/>
    <col min="15622" max="15622" width="15.25" style="55" customWidth="1"/>
    <col min="15623" max="15623" width="14.25" style="55" customWidth="1"/>
    <col min="15624" max="15624" width="14.125" style="55" customWidth="1"/>
    <col min="15625" max="15625" width="2.75" style="55" customWidth="1"/>
    <col min="15626" max="15626" width="15.875" style="55" customWidth="1"/>
    <col min="15627" max="15627" width="17.25" style="55" customWidth="1"/>
    <col min="15628" max="15628" width="17.75" style="55" customWidth="1"/>
    <col min="15629" max="15629" width="11.75" style="55" bestFit="1" customWidth="1"/>
    <col min="15630" max="15630" width="10.25" style="55" bestFit="1" customWidth="1"/>
    <col min="15631" max="15631" width="14.125" style="55" bestFit="1" customWidth="1"/>
    <col min="15632" max="15873" width="9.125" style="55"/>
    <col min="15874" max="15874" width="39.375" style="55" customWidth="1"/>
    <col min="15875" max="15875" width="15" style="55" customWidth="1"/>
    <col min="15876" max="15876" width="2.75" style="55" customWidth="1"/>
    <col min="15877" max="15877" width="10.75" style="55" customWidth="1"/>
    <col min="15878" max="15878" width="15.25" style="55" customWidth="1"/>
    <col min="15879" max="15879" width="14.25" style="55" customWidth="1"/>
    <col min="15880" max="15880" width="14.125" style="55" customWidth="1"/>
    <col min="15881" max="15881" width="2.75" style="55" customWidth="1"/>
    <col min="15882" max="15882" width="15.875" style="55" customWidth="1"/>
    <col min="15883" max="15883" width="17.25" style="55" customWidth="1"/>
    <col min="15884" max="15884" width="17.75" style="55" customWidth="1"/>
    <col min="15885" max="15885" width="11.75" style="55" bestFit="1" customWidth="1"/>
    <col min="15886" max="15886" width="10.25" style="55" bestFit="1" customWidth="1"/>
    <col min="15887" max="15887" width="14.125" style="55" bestFit="1" customWidth="1"/>
    <col min="15888" max="16129" width="9.125" style="55"/>
    <col min="16130" max="16130" width="39.375" style="55" customWidth="1"/>
    <col min="16131" max="16131" width="15" style="55" customWidth="1"/>
    <col min="16132" max="16132" width="2.75" style="55" customWidth="1"/>
    <col min="16133" max="16133" width="10.75" style="55" customWidth="1"/>
    <col min="16134" max="16134" width="15.25" style="55" customWidth="1"/>
    <col min="16135" max="16135" width="14.25" style="55" customWidth="1"/>
    <col min="16136" max="16136" width="14.125" style="55" customWidth="1"/>
    <col min="16137" max="16137" width="2.75" style="55" customWidth="1"/>
    <col min="16138" max="16138" width="15.875" style="55" customWidth="1"/>
    <col min="16139" max="16139" width="17.25" style="55" customWidth="1"/>
    <col min="16140" max="16140" width="17.75" style="55" customWidth="1"/>
    <col min="16141" max="16141" width="11.75" style="55" bestFit="1" customWidth="1"/>
    <col min="16142" max="16142" width="10.25" style="55" bestFit="1" customWidth="1"/>
    <col min="16143" max="16143" width="14.125" style="55" bestFit="1" customWidth="1"/>
    <col min="16144" max="16384" width="9.125" style="55"/>
  </cols>
  <sheetData>
    <row r="1" spans="1:12" x14ac:dyDescent="0.2">
      <c r="A1" s="1" t="s">
        <v>23</v>
      </c>
      <c r="B1" s="2"/>
    </row>
    <row r="2" spans="1:12" ht="15.75" x14ac:dyDescent="0.25">
      <c r="A2" s="56" t="s">
        <v>24</v>
      </c>
      <c r="B2" s="3"/>
      <c r="C2" s="56" t="s">
        <v>25</v>
      </c>
    </row>
    <row r="3" spans="1:12" x14ac:dyDescent="0.2">
      <c r="A3" s="55" t="s">
        <v>26</v>
      </c>
      <c r="B3" s="2"/>
    </row>
    <row r="4" spans="1:12" x14ac:dyDescent="0.2">
      <c r="B4" s="2"/>
      <c r="C4" s="4"/>
      <c r="D4" s="4"/>
    </row>
    <row r="5" spans="1:12" x14ac:dyDescent="0.2">
      <c r="B5" s="2"/>
      <c r="C5" s="5"/>
      <c r="D5" s="5"/>
    </row>
    <row r="6" spans="1:12" ht="15.75" x14ac:dyDescent="0.25">
      <c r="A6" s="55" t="s">
        <v>27</v>
      </c>
      <c r="B6" s="2"/>
      <c r="C6" s="6">
        <v>28272</v>
      </c>
      <c r="D6" s="4"/>
      <c r="E6" s="7"/>
    </row>
    <row r="7" spans="1:12" ht="15.75" x14ac:dyDescent="0.25">
      <c r="A7" s="55" t="s">
        <v>28</v>
      </c>
      <c r="B7" s="2"/>
      <c r="C7" s="6">
        <f>C6*0.06</f>
        <v>1696.32</v>
      </c>
      <c r="D7" s="4"/>
      <c r="E7" s="7"/>
    </row>
    <row r="8" spans="1:12" ht="15.75" x14ac:dyDescent="0.25">
      <c r="A8" s="55" t="s">
        <v>29</v>
      </c>
      <c r="B8" s="2"/>
      <c r="C8" s="6">
        <f>C6/3*0.2</f>
        <v>1884.8000000000002</v>
      </c>
      <c r="D8" s="6"/>
      <c r="E8" s="7"/>
    </row>
    <row r="9" spans="1:12" ht="15.75" x14ac:dyDescent="0.25">
      <c r="B9" s="2" t="s">
        <v>30</v>
      </c>
      <c r="C9" s="6"/>
      <c r="D9" s="4"/>
      <c r="E9" s="7"/>
    </row>
    <row r="10" spans="1:12" x14ac:dyDescent="0.2">
      <c r="B10" s="2"/>
    </row>
    <row r="11" spans="1:12" x14ac:dyDescent="0.2">
      <c r="A11" s="7" t="s">
        <v>31</v>
      </c>
      <c r="B11" s="8"/>
      <c r="D11" s="9"/>
      <c r="F11" s="9">
        <v>53950</v>
      </c>
      <c r="G11" s="9"/>
      <c r="H11" s="10"/>
      <c r="I11" s="10"/>
    </row>
    <row r="12" spans="1:12" x14ac:dyDescent="0.2">
      <c r="A12" s="7" t="s">
        <v>32</v>
      </c>
      <c r="B12" s="8"/>
      <c r="D12" s="9"/>
      <c r="F12" s="9">
        <v>59350</v>
      </c>
      <c r="G12" s="9"/>
      <c r="H12" s="10"/>
      <c r="I12" s="10"/>
    </row>
    <row r="13" spans="1:12" x14ac:dyDescent="0.2">
      <c r="A13" s="7" t="s">
        <v>33</v>
      </c>
      <c r="B13" s="8"/>
      <c r="D13" s="9"/>
      <c r="F13" s="9">
        <v>36150</v>
      </c>
      <c r="G13" s="9"/>
      <c r="H13" s="10"/>
      <c r="I13" s="10"/>
    </row>
    <row r="14" spans="1:12" x14ac:dyDescent="0.2">
      <c r="A14" s="7"/>
      <c r="B14" s="8"/>
      <c r="C14" s="11"/>
      <c r="D14" s="11"/>
      <c r="H14" s="10"/>
      <c r="I14" s="10"/>
    </row>
    <row r="15" spans="1:12" ht="15.75" x14ac:dyDescent="0.25">
      <c r="B15" s="2"/>
      <c r="J15" s="12" t="s">
        <v>34</v>
      </c>
      <c r="K15" s="412" t="s">
        <v>35</v>
      </c>
      <c r="L15" s="414"/>
    </row>
    <row r="16" spans="1:12" ht="31.5" x14ac:dyDescent="0.25">
      <c r="A16" s="56" t="s">
        <v>36</v>
      </c>
      <c r="B16" s="13"/>
      <c r="C16" s="14" t="s">
        <v>37</v>
      </c>
      <c r="D16" s="15"/>
      <c r="E16" s="12" t="s">
        <v>38</v>
      </c>
      <c r="F16" s="12" t="s">
        <v>39</v>
      </c>
      <c r="G16" s="12" t="s">
        <v>40</v>
      </c>
      <c r="H16" s="12" t="s">
        <v>0</v>
      </c>
      <c r="I16" s="16"/>
      <c r="J16" s="14" t="s">
        <v>41</v>
      </c>
      <c r="K16" s="17" t="s">
        <v>42</v>
      </c>
      <c r="L16" s="12" t="s">
        <v>43</v>
      </c>
    </row>
    <row r="17" spans="1:12" ht="15.75" x14ac:dyDescent="0.25">
      <c r="A17" s="18"/>
      <c r="B17" s="13"/>
      <c r="C17" s="19"/>
      <c r="D17" s="15"/>
      <c r="E17" s="20"/>
      <c r="F17" s="21"/>
      <c r="G17" s="21"/>
      <c r="H17" s="22"/>
      <c r="I17" s="16"/>
      <c r="J17" s="23"/>
      <c r="K17" s="24"/>
      <c r="L17" s="25"/>
    </row>
    <row r="18" spans="1:12" x14ac:dyDescent="0.2">
      <c r="A18" s="55">
        <v>1</v>
      </c>
      <c r="B18" s="2" t="s">
        <v>44</v>
      </c>
      <c r="C18" s="26">
        <v>50000</v>
      </c>
      <c r="D18" s="10"/>
      <c r="E18" s="27"/>
      <c r="F18" s="28"/>
      <c r="G18" s="28">
        <f>+C18*18</f>
        <v>900000</v>
      </c>
      <c r="H18" s="29">
        <f>SUM(F18+G18)</f>
        <v>900000</v>
      </c>
      <c r="I18" s="10"/>
      <c r="J18" s="30">
        <f>+H18</f>
        <v>900000</v>
      </c>
      <c r="K18" s="28"/>
      <c r="L18" s="29"/>
    </row>
    <row r="19" spans="1:12" x14ac:dyDescent="0.2">
      <c r="B19" s="2"/>
      <c r="C19" s="26"/>
      <c r="D19" s="10"/>
      <c r="E19" s="27"/>
      <c r="F19" s="28"/>
      <c r="G19" s="28"/>
      <c r="H19" s="29"/>
      <c r="I19" s="10"/>
      <c r="J19" s="30"/>
      <c r="K19" s="28"/>
      <c r="L19" s="29"/>
    </row>
    <row r="20" spans="1:12" x14ac:dyDescent="0.2">
      <c r="A20" s="55">
        <v>2</v>
      </c>
      <c r="B20" s="2" t="s">
        <v>45</v>
      </c>
      <c r="C20" s="26">
        <v>77000</v>
      </c>
      <c r="D20" s="10"/>
      <c r="E20" s="27">
        <v>18</v>
      </c>
      <c r="F20" s="28">
        <f>+C20*E20</f>
        <v>1386000</v>
      </c>
      <c r="G20" s="28"/>
      <c r="H20" s="29">
        <f>SUM(F20+G20)</f>
        <v>1386000</v>
      </c>
      <c r="I20" s="10"/>
      <c r="J20" s="30">
        <f>+H20</f>
        <v>1386000</v>
      </c>
      <c r="K20" s="28"/>
      <c r="L20" s="29"/>
    </row>
    <row r="21" spans="1:12" x14ac:dyDescent="0.2">
      <c r="B21" s="2"/>
      <c r="C21" s="26"/>
      <c r="D21" s="10"/>
      <c r="E21" s="27"/>
      <c r="F21" s="28"/>
      <c r="G21" s="28"/>
      <c r="H21" s="29"/>
      <c r="I21" s="10"/>
      <c r="J21" s="30"/>
      <c r="K21" s="28"/>
      <c r="L21" s="29"/>
    </row>
    <row r="22" spans="1:12" x14ac:dyDescent="0.2">
      <c r="A22" s="55">
        <v>3</v>
      </c>
      <c r="B22" s="2" t="s">
        <v>46</v>
      </c>
      <c r="C22" s="26">
        <v>39300</v>
      </c>
      <c r="D22" s="10"/>
      <c r="E22" s="27">
        <v>18</v>
      </c>
      <c r="F22" s="28">
        <f>+C22*E22</f>
        <v>707400</v>
      </c>
      <c r="G22" s="28"/>
      <c r="H22" s="29">
        <f>SUM(F22+G22)</f>
        <v>707400</v>
      </c>
      <c r="I22" s="10"/>
      <c r="J22" s="30">
        <f>+H22</f>
        <v>707400</v>
      </c>
      <c r="K22" s="28"/>
      <c r="L22" s="29"/>
    </row>
    <row r="23" spans="1:12" x14ac:dyDescent="0.2">
      <c r="B23" s="2"/>
      <c r="C23" s="26"/>
      <c r="D23" s="10"/>
      <c r="E23" s="27"/>
      <c r="F23" s="28"/>
      <c r="G23" s="28"/>
      <c r="H23" s="29"/>
      <c r="I23" s="10"/>
      <c r="J23" s="30"/>
      <c r="K23" s="28"/>
      <c r="L23" s="29"/>
    </row>
    <row r="24" spans="1:12" x14ac:dyDescent="0.2">
      <c r="A24" s="55">
        <v>4</v>
      </c>
      <c r="B24" s="2" t="s">
        <v>47</v>
      </c>
      <c r="C24" s="26">
        <v>36000</v>
      </c>
      <c r="D24" s="10"/>
      <c r="E24" s="27">
        <v>18</v>
      </c>
      <c r="F24" s="28">
        <f>+C24*E24</f>
        <v>648000</v>
      </c>
      <c r="G24" s="28"/>
      <c r="H24" s="29">
        <f>SUM(F24+G24)</f>
        <v>648000</v>
      </c>
      <c r="I24" s="10"/>
      <c r="J24" s="30">
        <f>+H24</f>
        <v>648000</v>
      </c>
      <c r="K24" s="28"/>
      <c r="L24" s="29"/>
    </row>
    <row r="25" spans="1:12" x14ac:dyDescent="0.2">
      <c r="B25" s="2"/>
      <c r="C25" s="26"/>
      <c r="D25" s="10"/>
      <c r="E25" s="27"/>
      <c r="F25" s="28"/>
      <c r="G25" s="28"/>
      <c r="H25" s="29"/>
      <c r="I25" s="10"/>
      <c r="J25" s="30"/>
      <c r="K25" s="28"/>
      <c r="L25" s="29"/>
    </row>
    <row r="26" spans="1:12" x14ac:dyDescent="0.2">
      <c r="A26" s="55">
        <v>5</v>
      </c>
      <c r="B26" s="2" t="s">
        <v>48</v>
      </c>
      <c r="C26" s="26">
        <v>51000</v>
      </c>
      <c r="D26" s="10"/>
      <c r="E26" s="27">
        <v>18</v>
      </c>
      <c r="F26" s="28">
        <f>+C26*E26</f>
        <v>918000</v>
      </c>
      <c r="G26" s="28"/>
      <c r="H26" s="29">
        <f>SUM(F26+G26)</f>
        <v>918000</v>
      </c>
      <c r="I26" s="10"/>
      <c r="J26" s="30">
        <f>+H26</f>
        <v>918000</v>
      </c>
      <c r="K26" s="28"/>
      <c r="L26" s="29"/>
    </row>
    <row r="27" spans="1:12" x14ac:dyDescent="0.2">
      <c r="B27" s="2"/>
      <c r="C27" s="26"/>
      <c r="D27" s="10"/>
      <c r="E27" s="27"/>
      <c r="F27" s="28"/>
      <c r="G27" s="28"/>
      <c r="H27" s="29"/>
      <c r="I27" s="10"/>
      <c r="J27" s="30"/>
      <c r="K27" s="28"/>
      <c r="L27" s="29"/>
    </row>
    <row r="28" spans="1:12" x14ac:dyDescent="0.2">
      <c r="A28" s="55">
        <v>6</v>
      </c>
      <c r="B28" s="2" t="s">
        <v>49</v>
      </c>
      <c r="C28" s="31">
        <v>0</v>
      </c>
      <c r="D28" s="10"/>
      <c r="E28" s="27"/>
      <c r="F28" s="28"/>
      <c r="G28" s="32">
        <v>0</v>
      </c>
      <c r="H28" s="33">
        <v>0</v>
      </c>
      <c r="I28" s="10"/>
      <c r="J28" s="34">
        <f>+H28</f>
        <v>0</v>
      </c>
      <c r="K28" s="32">
        <v>0</v>
      </c>
      <c r="L28" s="33">
        <v>0</v>
      </c>
    </row>
    <row r="29" spans="1:12" x14ac:dyDescent="0.2">
      <c r="B29" s="2"/>
      <c r="C29" s="26"/>
      <c r="D29" s="10"/>
      <c r="E29" s="27"/>
      <c r="F29" s="28"/>
      <c r="G29" s="28"/>
      <c r="H29" s="29"/>
      <c r="I29" s="10"/>
      <c r="J29" s="30"/>
      <c r="K29" s="28"/>
      <c r="L29" s="29"/>
    </row>
    <row r="30" spans="1:12" x14ac:dyDescent="0.2">
      <c r="A30" s="55">
        <v>7</v>
      </c>
      <c r="B30" s="2" t="s">
        <v>50</v>
      </c>
      <c r="C30" s="26">
        <v>13000</v>
      </c>
      <c r="D30" s="10"/>
      <c r="E30" s="27"/>
      <c r="F30" s="28"/>
      <c r="G30" s="28">
        <f>+C30*18</f>
        <v>234000</v>
      </c>
      <c r="H30" s="29">
        <f>SUM(F30+G30)</f>
        <v>234000</v>
      </c>
      <c r="I30" s="10"/>
      <c r="J30" s="30">
        <f>+H30</f>
        <v>234000</v>
      </c>
      <c r="K30" s="28"/>
      <c r="L30" s="29"/>
    </row>
    <row r="31" spans="1:12" x14ac:dyDescent="0.2">
      <c r="B31" s="2"/>
      <c r="C31" s="26"/>
      <c r="D31" s="10"/>
      <c r="E31" s="27"/>
      <c r="F31" s="28"/>
      <c r="G31" s="28"/>
      <c r="H31" s="29"/>
      <c r="I31" s="10"/>
      <c r="J31" s="30"/>
      <c r="K31" s="28"/>
      <c r="L31" s="29"/>
    </row>
    <row r="32" spans="1:12" x14ac:dyDescent="0.2">
      <c r="A32" s="55">
        <v>8</v>
      </c>
      <c r="B32" s="2" t="s">
        <v>51</v>
      </c>
      <c r="C32" s="26">
        <v>30000</v>
      </c>
      <c r="D32" s="10"/>
      <c r="E32" s="27"/>
      <c r="F32" s="28"/>
      <c r="G32" s="28">
        <f>+C32*18</f>
        <v>540000</v>
      </c>
      <c r="H32" s="29">
        <f>SUM(F32+G32)</f>
        <v>540000</v>
      </c>
      <c r="I32" s="10"/>
      <c r="J32" s="30">
        <f>+H32</f>
        <v>540000</v>
      </c>
      <c r="K32" s="28"/>
      <c r="L32" s="29"/>
    </row>
    <row r="33" spans="1:12" x14ac:dyDescent="0.2">
      <c r="B33" s="2"/>
      <c r="C33" s="26"/>
      <c r="D33" s="10"/>
      <c r="E33" s="27"/>
      <c r="F33" s="28"/>
      <c r="G33" s="28"/>
      <c r="H33" s="29"/>
      <c r="I33" s="10"/>
      <c r="J33" s="30"/>
      <c r="K33" s="28"/>
      <c r="L33" s="29"/>
    </row>
    <row r="34" spans="1:12" x14ac:dyDescent="0.2">
      <c r="A34" s="55">
        <v>9</v>
      </c>
      <c r="B34" s="2" t="s">
        <v>52</v>
      </c>
      <c r="C34" s="26">
        <v>40000</v>
      </c>
      <c r="D34" s="10"/>
      <c r="E34" s="27"/>
      <c r="F34" s="28"/>
      <c r="G34" s="28">
        <f>+C34*18</f>
        <v>720000</v>
      </c>
      <c r="H34" s="29">
        <f>SUM(F34+G34)</f>
        <v>720000</v>
      </c>
      <c r="I34" s="10"/>
      <c r="J34" s="30">
        <f>+H34</f>
        <v>720000</v>
      </c>
      <c r="K34" s="28"/>
      <c r="L34" s="29"/>
    </row>
    <row r="35" spans="1:12" x14ac:dyDescent="0.2">
      <c r="B35" s="2"/>
      <c r="C35" s="26"/>
      <c r="D35" s="10"/>
      <c r="E35" s="27"/>
      <c r="F35" s="28"/>
      <c r="G35" s="28"/>
      <c r="H35" s="29"/>
      <c r="I35" s="10"/>
      <c r="J35" s="30"/>
      <c r="K35" s="28"/>
      <c r="L35" s="29"/>
    </row>
    <row r="36" spans="1:12" ht="30" x14ac:dyDescent="0.2">
      <c r="A36" s="55">
        <v>10</v>
      </c>
      <c r="B36" s="2" t="s">
        <v>53</v>
      </c>
      <c r="C36" s="26"/>
      <c r="D36" s="10"/>
      <c r="E36" s="27"/>
      <c r="F36" s="28"/>
      <c r="G36" s="28">
        <f>ROUND((F20+F22+F24+F26+F38+F42+F44+F46+F49+F51+F53+F55)*0.15,0)</f>
        <v>4159347</v>
      </c>
      <c r="H36" s="35">
        <f>SUM(F36+G36)</f>
        <v>4159347</v>
      </c>
      <c r="I36" s="10"/>
      <c r="J36" s="30">
        <f>ROUND((SUM(F20:F26)*0.15),0)</f>
        <v>548910</v>
      </c>
      <c r="K36" s="32">
        <f>ROUND(SUM(F38:F53)*0.15,0)</f>
        <v>2849742</v>
      </c>
      <c r="L36" s="33">
        <f>ROUND(F55*0.15,0)</f>
        <v>760695</v>
      </c>
    </row>
    <row r="37" spans="1:12" x14ac:dyDescent="0.2">
      <c r="B37" s="2"/>
      <c r="C37" s="26"/>
      <c r="D37" s="10"/>
      <c r="E37" s="27"/>
      <c r="F37" s="28"/>
      <c r="G37" s="28"/>
      <c r="H37" s="29"/>
      <c r="I37" s="10"/>
      <c r="J37" s="30"/>
      <c r="K37" s="32"/>
      <c r="L37" s="33"/>
    </row>
    <row r="38" spans="1:12" x14ac:dyDescent="0.2">
      <c r="A38" s="55">
        <v>11</v>
      </c>
      <c r="B38" s="2" t="s">
        <v>54</v>
      </c>
      <c r="C38" s="26"/>
      <c r="D38" s="10"/>
      <c r="E38" s="27"/>
      <c r="F38" s="28">
        <f>(F20+F22+F24+F26+F42+F44+F46+F49+F51+F53+F55)*0.2045</f>
        <v>4707825.6862499993</v>
      </c>
      <c r="G38" s="28"/>
      <c r="H38" s="29">
        <f>(+H20+H22+H24+H26+H42+H44+H46+H49+H51+H53+H55)*0.2045</f>
        <v>4707825.6862499993</v>
      </c>
      <c r="I38" s="10"/>
      <c r="J38" s="30">
        <f>ROUND((SUM(F20:F26)*0.2045),0)</f>
        <v>748347</v>
      </c>
      <c r="K38" s="32">
        <f>ROUND((SUM(F42:F53)*0.2045),0)</f>
        <v>2922398</v>
      </c>
      <c r="L38" s="33">
        <f>ROUND(F55*0.2045,0)</f>
        <v>1037081</v>
      </c>
    </row>
    <row r="39" spans="1:12" x14ac:dyDescent="0.2">
      <c r="B39" s="2"/>
      <c r="C39" s="26"/>
      <c r="D39" s="10"/>
      <c r="E39" s="27"/>
      <c r="F39" s="28"/>
      <c r="G39" s="28"/>
      <c r="H39" s="29"/>
      <c r="I39" s="10"/>
      <c r="J39" s="30"/>
      <c r="K39" s="32"/>
      <c r="L39" s="33"/>
    </row>
    <row r="40" spans="1:12" x14ac:dyDescent="0.2">
      <c r="A40" s="55">
        <v>12</v>
      </c>
      <c r="B40" s="2" t="s">
        <v>55</v>
      </c>
      <c r="C40" s="26">
        <v>2000</v>
      </c>
      <c r="D40" s="10"/>
      <c r="E40" s="27"/>
      <c r="F40" s="28"/>
      <c r="G40" s="28">
        <f>E61*2000</f>
        <v>856000</v>
      </c>
      <c r="H40" s="29">
        <f>SUM(F40:G40)</f>
        <v>856000</v>
      </c>
      <c r="I40" s="10"/>
      <c r="J40" s="30">
        <f>(E20+E22+E24+E26)*2000</f>
        <v>144000</v>
      </c>
      <c r="K40" s="32">
        <f>ROUND(SUM(E44:E53)*2000,0)</f>
        <v>524000</v>
      </c>
      <c r="L40" s="33">
        <f>ROUND(E55*2000,0)</f>
        <v>188000</v>
      </c>
    </row>
    <row r="41" spans="1:12" x14ac:dyDescent="0.2">
      <c r="B41" s="2"/>
      <c r="C41" s="26"/>
      <c r="D41" s="10"/>
      <c r="E41" s="27"/>
      <c r="F41" s="28"/>
      <c r="G41" s="28"/>
      <c r="H41" s="29"/>
      <c r="I41" s="10"/>
      <c r="J41" s="30"/>
      <c r="K41" s="32"/>
      <c r="L41" s="33"/>
    </row>
    <row r="42" spans="1:12" ht="30" x14ac:dyDescent="0.2">
      <c r="A42" s="55">
        <v>13</v>
      </c>
      <c r="B42" s="2" t="s">
        <v>56</v>
      </c>
      <c r="C42" s="26"/>
      <c r="D42" s="10"/>
      <c r="E42" s="27"/>
      <c r="F42" s="28">
        <f>(F49+F53+F55+F44)*0.05</f>
        <v>787952.5</v>
      </c>
      <c r="G42" s="28"/>
      <c r="H42" s="29">
        <f>SUM(F42:G42)</f>
        <v>787952.5</v>
      </c>
      <c r="I42" s="10"/>
      <c r="J42" s="30"/>
      <c r="K42" s="32">
        <f>ROUND((+F44+F49+F53)*0.05,0)</f>
        <v>534388</v>
      </c>
      <c r="L42" s="33">
        <f>ROUND(F55*0.05,0)</f>
        <v>253565</v>
      </c>
    </row>
    <row r="43" spans="1:12" x14ac:dyDescent="0.2">
      <c r="B43" s="2"/>
      <c r="C43" s="26"/>
      <c r="D43" s="10"/>
      <c r="E43" s="27"/>
      <c r="F43" s="28"/>
      <c r="G43" s="28"/>
      <c r="H43" s="29"/>
      <c r="I43" s="10"/>
      <c r="J43" s="30"/>
      <c r="K43" s="28"/>
      <c r="L43" s="29"/>
    </row>
    <row r="44" spans="1:12" x14ac:dyDescent="0.2">
      <c r="A44" s="55">
        <v>14</v>
      </c>
      <c r="B44" s="2" t="s">
        <v>57</v>
      </c>
      <c r="C44" s="26">
        <f>+F12</f>
        <v>59350</v>
      </c>
      <c r="D44" s="10"/>
      <c r="E44" s="27">
        <f>ROUND((E55+E53+E51+E49+E46)/6,0)</f>
        <v>51</v>
      </c>
      <c r="F44" s="28">
        <f>F12*E44</f>
        <v>3026850</v>
      </c>
      <c r="G44" s="28"/>
      <c r="H44" s="29">
        <f>SUM(F44:G44)</f>
        <v>3026850</v>
      </c>
      <c r="I44" s="10"/>
      <c r="J44" s="27"/>
      <c r="K44" s="32">
        <f>ROUND(F44*((+E$49+E$51+E$53)/(E$49+E$51+E$53+E$55)),0)</f>
        <v>1906677</v>
      </c>
      <c r="L44" s="33">
        <f>ROUND((+F44*(E$55/(+E$49+E$51+E$53+E$55))),0)</f>
        <v>1120173</v>
      </c>
    </row>
    <row r="45" spans="1:12" x14ac:dyDescent="0.2">
      <c r="B45" s="2"/>
      <c r="C45" s="26"/>
      <c r="D45" s="10"/>
      <c r="E45" s="27"/>
      <c r="F45" s="28"/>
      <c r="G45" s="28"/>
      <c r="H45" s="29"/>
      <c r="I45" s="10"/>
      <c r="J45" s="30"/>
      <c r="K45" s="28"/>
      <c r="L45" s="29"/>
    </row>
    <row r="46" spans="1:12" x14ac:dyDescent="0.2">
      <c r="A46" s="55">
        <v>15</v>
      </c>
      <c r="B46" s="2" t="s">
        <v>58</v>
      </c>
      <c r="C46" s="26">
        <f>+F13</f>
        <v>36150</v>
      </c>
      <c r="D46" s="10"/>
      <c r="E46" s="27">
        <f>ROUND((E55+E53+E51+E49)/5,0)</f>
        <v>51</v>
      </c>
      <c r="F46" s="28">
        <f>F13*E46</f>
        <v>1843650</v>
      </c>
      <c r="G46" s="28"/>
      <c r="H46" s="29">
        <f>SUM(F46:G46)</f>
        <v>1843650</v>
      </c>
      <c r="I46" s="10"/>
      <c r="J46" s="30"/>
      <c r="K46" s="32">
        <f>ROUND(F46*((+E$49+E$51+E$53)/(E$49+E$51+E$53+E$55)),0)</f>
        <v>1161354</v>
      </c>
      <c r="L46" s="33">
        <f>ROUND((+F46*(E$55/(+E$49+E$51+E$53+E$55))),0)</f>
        <v>682296</v>
      </c>
    </row>
    <row r="47" spans="1:12" x14ac:dyDescent="0.2">
      <c r="B47" s="2"/>
      <c r="C47" s="26"/>
      <c r="D47" s="10"/>
      <c r="E47" s="27"/>
      <c r="F47" s="28"/>
      <c r="G47" s="28"/>
      <c r="H47" s="29"/>
      <c r="I47" s="10"/>
      <c r="J47" s="30"/>
      <c r="K47" s="28"/>
      <c r="L47" s="29"/>
    </row>
    <row r="48" spans="1:12" ht="15.75" x14ac:dyDescent="0.25">
      <c r="A48" s="18" t="s">
        <v>59</v>
      </c>
      <c r="B48" s="2"/>
      <c r="C48" s="26"/>
      <c r="D48" s="10"/>
      <c r="E48" s="27"/>
      <c r="F48" s="28"/>
      <c r="G48" s="28"/>
      <c r="H48" s="29"/>
      <c r="I48" s="10"/>
      <c r="J48" s="30"/>
      <c r="K48" s="28"/>
      <c r="L48" s="29"/>
    </row>
    <row r="49" spans="1:12" x14ac:dyDescent="0.2">
      <c r="A49" s="36">
        <v>16</v>
      </c>
      <c r="B49" s="37" t="s">
        <v>60</v>
      </c>
      <c r="C49" s="38">
        <f>+F11</f>
        <v>53950</v>
      </c>
      <c r="D49" s="39"/>
      <c r="E49" s="40">
        <f>ROUND(C7/30,0)</f>
        <v>57</v>
      </c>
      <c r="F49" s="41">
        <f>F11*E49</f>
        <v>3075150</v>
      </c>
      <c r="G49" s="41"/>
      <c r="H49" s="35">
        <f>SUM(F49:G49)</f>
        <v>3075150</v>
      </c>
      <c r="I49" s="39"/>
      <c r="J49" s="42"/>
      <c r="K49" s="28">
        <f>F11*E49</f>
        <v>3075150</v>
      </c>
      <c r="L49" s="29"/>
    </row>
    <row r="50" spans="1:12" x14ac:dyDescent="0.2">
      <c r="A50" s="37"/>
      <c r="B50" s="37"/>
      <c r="C50" s="26"/>
      <c r="D50" s="10"/>
      <c r="E50" s="27"/>
      <c r="F50" s="28"/>
      <c r="G50" s="28"/>
      <c r="H50" s="29"/>
      <c r="I50" s="10"/>
      <c r="J50" s="30"/>
      <c r="K50" s="28"/>
      <c r="L50" s="29"/>
    </row>
    <row r="51" spans="1:12" ht="30" x14ac:dyDescent="0.2">
      <c r="A51" s="36">
        <v>17</v>
      </c>
      <c r="B51" s="37" t="s">
        <v>61</v>
      </c>
      <c r="C51" s="26">
        <f>+F11</f>
        <v>53950</v>
      </c>
      <c r="D51" s="10"/>
      <c r="E51" s="27">
        <v>18</v>
      </c>
      <c r="F51" s="28">
        <f>F11*E51</f>
        <v>971100</v>
      </c>
      <c r="G51" s="28"/>
      <c r="H51" s="29">
        <f>SUM(F51:G51)</f>
        <v>971100</v>
      </c>
      <c r="I51" s="10"/>
      <c r="J51" s="30" t="s">
        <v>62</v>
      </c>
      <c r="K51" s="28">
        <f>ROUND(E51*F11,0)</f>
        <v>971100</v>
      </c>
      <c r="L51" s="29"/>
    </row>
    <row r="52" spans="1:12" x14ac:dyDescent="0.2">
      <c r="A52" s="37"/>
      <c r="B52" s="37"/>
      <c r="C52" s="26"/>
      <c r="D52" s="10"/>
      <c r="E52" s="27"/>
      <c r="F52" s="28"/>
      <c r="G52" s="28"/>
      <c r="H52" s="29"/>
      <c r="I52" s="10"/>
      <c r="J52" s="30"/>
      <c r="K52" s="28"/>
      <c r="L52" s="29"/>
    </row>
    <row r="53" spans="1:12" x14ac:dyDescent="0.2">
      <c r="A53" s="37">
        <v>18</v>
      </c>
      <c r="B53" s="37" t="s">
        <v>63</v>
      </c>
      <c r="C53" s="26">
        <f>+F11</f>
        <v>53950</v>
      </c>
      <c r="D53" s="10"/>
      <c r="E53" s="27">
        <f>ROUND(C7/20,0)</f>
        <v>85</v>
      </c>
      <c r="F53" s="28">
        <f>F11*E53</f>
        <v>4585750</v>
      </c>
      <c r="G53" s="28"/>
      <c r="H53" s="29">
        <f>SUM(F53:G53)</f>
        <v>4585750</v>
      </c>
      <c r="I53" s="10"/>
      <c r="J53" s="30"/>
      <c r="K53" s="28">
        <f>F11*E53</f>
        <v>4585750</v>
      </c>
      <c r="L53" s="29"/>
    </row>
    <row r="54" spans="1:12" x14ac:dyDescent="0.2">
      <c r="A54" s="37"/>
      <c r="B54" s="37"/>
      <c r="C54" s="26"/>
      <c r="D54" s="10"/>
      <c r="E54" s="27"/>
      <c r="F54" s="28"/>
      <c r="G54" s="28"/>
      <c r="H54" s="29"/>
      <c r="I54" s="10"/>
      <c r="J54" s="30"/>
      <c r="K54" s="28"/>
      <c r="L54" s="29"/>
    </row>
    <row r="55" spans="1:12" x14ac:dyDescent="0.2">
      <c r="A55" s="37">
        <v>19</v>
      </c>
      <c r="B55" s="37" t="s">
        <v>64</v>
      </c>
      <c r="C55" s="26">
        <f>+F11</f>
        <v>53950</v>
      </c>
      <c r="D55" s="10"/>
      <c r="E55" s="27">
        <f>ROUND(C8/20,0)</f>
        <v>94</v>
      </c>
      <c r="F55" s="28">
        <f>F11*E55</f>
        <v>5071300</v>
      </c>
      <c r="G55" s="28"/>
      <c r="H55" s="29">
        <f>SUM(F55:G55)</f>
        <v>5071300</v>
      </c>
      <c r="I55" s="10"/>
      <c r="J55" s="30"/>
      <c r="K55" s="28"/>
      <c r="L55" s="29">
        <f>F11*E55</f>
        <v>5071300</v>
      </c>
    </row>
    <row r="56" spans="1:12" x14ac:dyDescent="0.2">
      <c r="A56" s="37"/>
      <c r="B56" s="37"/>
      <c r="C56" s="26"/>
      <c r="D56" s="10"/>
      <c r="E56" s="27"/>
      <c r="F56" s="28"/>
      <c r="G56" s="28"/>
      <c r="H56" s="29"/>
      <c r="I56" s="10"/>
      <c r="J56" s="30"/>
      <c r="K56" s="28"/>
      <c r="L56" s="29"/>
    </row>
    <row r="57" spans="1:12" x14ac:dyDescent="0.2">
      <c r="A57" s="37">
        <v>20</v>
      </c>
      <c r="B57" s="37" t="s">
        <v>65</v>
      </c>
      <c r="C57" s="31"/>
      <c r="D57" s="43"/>
      <c r="E57" s="27"/>
      <c r="F57" s="28"/>
      <c r="G57" s="28">
        <f>ROUND(125*C6,0)</f>
        <v>3534000</v>
      </c>
      <c r="H57" s="29">
        <f>SUM(F57:G57)</f>
        <v>3534000</v>
      </c>
      <c r="I57" s="10"/>
      <c r="J57" s="30" t="s">
        <v>62</v>
      </c>
      <c r="K57" s="29">
        <f>ROUND(125/2*C6,0)</f>
        <v>1767000</v>
      </c>
      <c r="L57" s="29">
        <f>ROUND(125/2*C6,0)</f>
        <v>1767000</v>
      </c>
    </row>
    <row r="58" spans="1:12" x14ac:dyDescent="0.2">
      <c r="A58" s="37"/>
      <c r="B58" s="37"/>
      <c r="C58" s="26"/>
      <c r="D58" s="10"/>
      <c r="E58" s="27"/>
      <c r="F58" s="28"/>
      <c r="G58" s="28"/>
      <c r="H58" s="29"/>
      <c r="I58" s="10"/>
      <c r="J58" s="30"/>
      <c r="K58" s="28"/>
      <c r="L58" s="29"/>
    </row>
    <row r="59" spans="1:12" x14ac:dyDescent="0.2">
      <c r="A59" s="37">
        <v>21</v>
      </c>
      <c r="B59" s="37" t="s">
        <v>66</v>
      </c>
      <c r="C59" s="26">
        <v>10000</v>
      </c>
      <c r="D59" s="10"/>
      <c r="E59" s="27"/>
      <c r="F59" s="28"/>
      <c r="G59" s="28">
        <f>(E20+E44+E49+E51+E53+E55)*10000</f>
        <v>3230000</v>
      </c>
      <c r="H59" s="29">
        <f>SUM(F59:G59)</f>
        <v>3230000</v>
      </c>
      <c r="I59" s="10"/>
      <c r="J59" s="30">
        <f>ROUND(10000*E20,0)</f>
        <v>180000</v>
      </c>
      <c r="K59" s="32">
        <f>ROUND(10000*(+E53+E51+E49+E44),0)</f>
        <v>2110000</v>
      </c>
      <c r="L59" s="33">
        <f>ROUND(10000*E55,0)</f>
        <v>940000</v>
      </c>
    </row>
    <row r="60" spans="1:12" x14ac:dyDescent="0.2">
      <c r="B60" s="2"/>
      <c r="C60" s="26"/>
      <c r="D60" s="10"/>
      <c r="E60" s="27"/>
      <c r="F60" s="28"/>
      <c r="G60" s="28"/>
      <c r="H60" s="29"/>
      <c r="I60" s="10"/>
      <c r="J60" s="30"/>
      <c r="K60" s="28"/>
      <c r="L60" s="29"/>
    </row>
    <row r="61" spans="1:12" ht="15.75" x14ac:dyDescent="0.25">
      <c r="B61" s="3" t="s">
        <v>67</v>
      </c>
      <c r="C61" s="44">
        <f>SUM(C18:C59)</f>
        <v>659600</v>
      </c>
      <c r="D61" s="10"/>
      <c r="E61" s="45">
        <f>SUM(E18:E59)</f>
        <v>428</v>
      </c>
      <c r="F61" s="46">
        <f>SUM(F18:F59)</f>
        <v>27728978.186250001</v>
      </c>
      <c r="G61" s="46">
        <f>SUM(G18:G59)</f>
        <v>14173347</v>
      </c>
      <c r="H61" s="47">
        <f>SUM(H18:H59)</f>
        <v>41902325.186250001</v>
      </c>
      <c r="I61" s="10"/>
      <c r="J61" s="48">
        <f>SUM(J18:J59)</f>
        <v>7674657</v>
      </c>
      <c r="K61" s="46">
        <f>SUM(K18:K59)</f>
        <v>22407559</v>
      </c>
      <c r="L61" s="47">
        <f>SUM(L18:L59)</f>
        <v>11820110</v>
      </c>
    </row>
    <row r="62" spans="1:12" x14ac:dyDescent="0.2">
      <c r="B62" s="49"/>
      <c r="J62" s="50"/>
      <c r="L62" s="50"/>
    </row>
    <row r="63" spans="1:12" x14ac:dyDescent="0.2">
      <c r="B63" s="49"/>
      <c r="J63" s="50"/>
      <c r="L63" s="50"/>
    </row>
    <row r="64" spans="1:12" x14ac:dyDescent="0.2">
      <c r="A64" s="37">
        <v>26</v>
      </c>
      <c r="B64" s="55" t="s">
        <v>68</v>
      </c>
      <c r="C64" s="8"/>
      <c r="D64" s="8"/>
      <c r="E64" s="11"/>
      <c r="L64" s="10">
        <f>+J61+K61+L61</f>
        <v>41902326</v>
      </c>
    </row>
    <row r="65" spans="1:15" x14ac:dyDescent="0.2">
      <c r="A65" s="37">
        <v>28</v>
      </c>
      <c r="B65" s="55" t="s">
        <v>69</v>
      </c>
      <c r="C65" s="7"/>
      <c r="D65" s="7"/>
      <c r="E65" s="11"/>
      <c r="L65" s="10">
        <f>25965476</f>
        <v>25965476</v>
      </c>
    </row>
    <row r="66" spans="1:15" ht="15.75" x14ac:dyDescent="0.25">
      <c r="A66" s="37">
        <v>29</v>
      </c>
      <c r="B66" s="55" t="s">
        <v>70</v>
      </c>
      <c r="C66" s="7"/>
      <c r="D66" s="7"/>
      <c r="E66" s="11"/>
      <c r="J66" s="10" t="s">
        <v>62</v>
      </c>
      <c r="L66" s="51">
        <f>+L64-L65</f>
        <v>15936850</v>
      </c>
      <c r="O66" s="10"/>
    </row>
    <row r="67" spans="1:15" x14ac:dyDescent="0.2">
      <c r="B67" s="8"/>
      <c r="C67" s="7"/>
      <c r="D67" s="7"/>
      <c r="E67" s="11"/>
      <c r="J67" s="10"/>
      <c r="L67" s="10"/>
      <c r="O67" s="10"/>
    </row>
    <row r="68" spans="1:15" ht="78.75" x14ac:dyDescent="0.25">
      <c r="B68" s="8"/>
      <c r="C68" s="7"/>
      <c r="D68" s="7"/>
      <c r="E68" s="11"/>
      <c r="J68" s="51" t="s">
        <v>71</v>
      </c>
      <c r="K68" s="52" t="s">
        <v>72</v>
      </c>
      <c r="L68" s="53" t="s">
        <v>73</v>
      </c>
    </row>
    <row r="69" spans="1:15" ht="15.75" x14ac:dyDescent="0.25">
      <c r="B69" s="8" t="s">
        <v>74</v>
      </c>
      <c r="C69" s="7"/>
      <c r="D69" s="7"/>
      <c r="E69" s="11"/>
      <c r="J69" s="10">
        <f>+J61+K61</f>
        <v>30082216</v>
      </c>
      <c r="K69" s="10">
        <f>+L65</f>
        <v>25965476</v>
      </c>
      <c r="L69" s="51">
        <f>+J69-K69</f>
        <v>4116740</v>
      </c>
    </row>
    <row r="70" spans="1:15" ht="15.75" x14ac:dyDescent="0.25">
      <c r="B70" s="54" t="s">
        <v>75</v>
      </c>
      <c r="C70" s="7"/>
      <c r="D70" s="7"/>
      <c r="E70" s="11"/>
      <c r="J70" s="10">
        <f>+L61</f>
        <v>11820110</v>
      </c>
      <c r="K70" s="10" t="s">
        <v>62</v>
      </c>
      <c r="L70" s="51">
        <f>+J70</f>
        <v>11820110</v>
      </c>
    </row>
    <row r="72" spans="1:15" x14ac:dyDescent="0.2">
      <c r="A72" s="1" t="s">
        <v>23</v>
      </c>
      <c r="B72" s="2"/>
    </row>
    <row r="73" spans="1:15" ht="15.75" x14ac:dyDescent="0.25">
      <c r="A73" s="56" t="s">
        <v>24</v>
      </c>
      <c r="B73" s="3"/>
      <c r="C73" s="56" t="s">
        <v>181</v>
      </c>
    </row>
    <row r="74" spans="1:15" x14ac:dyDescent="0.2">
      <c r="A74" s="55" t="s">
        <v>26</v>
      </c>
      <c r="B74" s="2"/>
    </row>
    <row r="75" spans="1:15" x14ac:dyDescent="0.2">
      <c r="B75" s="2"/>
      <c r="C75" s="4"/>
      <c r="D75" s="4"/>
    </row>
    <row r="76" spans="1:15" x14ac:dyDescent="0.2">
      <c r="B76" s="2"/>
      <c r="C76" s="5"/>
      <c r="D76" s="5"/>
    </row>
    <row r="77" spans="1:15" ht="15.75" x14ac:dyDescent="0.25">
      <c r="A77" s="55" t="s">
        <v>27</v>
      </c>
      <c r="B77" s="2"/>
      <c r="C77" s="6">
        <v>1780</v>
      </c>
      <c r="D77" s="4"/>
      <c r="E77" s="7"/>
    </row>
    <row r="78" spans="1:15" ht="15.75" x14ac:dyDescent="0.25">
      <c r="A78" s="55" t="s">
        <v>28</v>
      </c>
      <c r="B78" s="2"/>
      <c r="C78" s="6">
        <f>C77*0.06</f>
        <v>106.8</v>
      </c>
      <c r="D78" s="4"/>
      <c r="E78" s="7"/>
    </row>
    <row r="79" spans="1:15" ht="15.75" x14ac:dyDescent="0.25">
      <c r="A79" s="55" t="s">
        <v>29</v>
      </c>
      <c r="B79" s="2"/>
      <c r="C79" s="6">
        <f>C77/3*0.2</f>
        <v>118.66666666666669</v>
      </c>
      <c r="D79" s="6"/>
      <c r="E79" s="7"/>
    </row>
    <row r="80" spans="1:15" ht="15.75" x14ac:dyDescent="0.25">
      <c r="B80" s="2" t="s">
        <v>30</v>
      </c>
      <c r="C80" s="6"/>
      <c r="D80" s="4"/>
      <c r="E80" s="7"/>
    </row>
    <row r="81" spans="1:12" x14ac:dyDescent="0.2">
      <c r="B81" s="2"/>
    </row>
    <row r="82" spans="1:12" x14ac:dyDescent="0.2">
      <c r="A82" s="7" t="s">
        <v>31</v>
      </c>
      <c r="B82" s="8"/>
      <c r="D82" s="9"/>
      <c r="F82" s="9">
        <v>53950</v>
      </c>
      <c r="H82" s="10"/>
      <c r="I82" s="10"/>
    </row>
    <row r="83" spans="1:12" x14ac:dyDescent="0.2">
      <c r="A83" s="7" t="s">
        <v>32</v>
      </c>
      <c r="B83" s="8"/>
      <c r="D83" s="9"/>
      <c r="F83" s="9">
        <v>59350</v>
      </c>
      <c r="H83" s="10"/>
      <c r="I83" s="10"/>
    </row>
    <row r="84" spans="1:12" x14ac:dyDescent="0.2">
      <c r="A84" s="7" t="s">
        <v>33</v>
      </c>
      <c r="B84" s="8"/>
      <c r="D84" s="9"/>
      <c r="F84" s="9">
        <v>36150</v>
      </c>
      <c r="H84" s="10"/>
      <c r="I84" s="10"/>
    </row>
    <row r="85" spans="1:12" x14ac:dyDescent="0.2">
      <c r="A85" s="7"/>
      <c r="B85" s="8"/>
      <c r="C85" s="11"/>
      <c r="D85" s="11"/>
      <c r="H85" s="10"/>
      <c r="I85" s="10"/>
    </row>
    <row r="86" spans="1:12" ht="15.75" x14ac:dyDescent="0.25">
      <c r="B86" s="2"/>
      <c r="J86" s="12" t="s">
        <v>34</v>
      </c>
      <c r="K86" s="412" t="s">
        <v>35</v>
      </c>
      <c r="L86" s="413"/>
    </row>
    <row r="87" spans="1:12" ht="31.5" x14ac:dyDescent="0.25">
      <c r="A87" s="56" t="s">
        <v>36</v>
      </c>
      <c r="B87" s="13"/>
      <c r="C87" s="14" t="s">
        <v>37</v>
      </c>
      <c r="D87" s="15"/>
      <c r="E87" s="12" t="s">
        <v>38</v>
      </c>
      <c r="F87" s="12" t="s">
        <v>39</v>
      </c>
      <c r="G87" s="12" t="s">
        <v>40</v>
      </c>
      <c r="H87" s="12" t="s">
        <v>0</v>
      </c>
      <c r="I87" s="16"/>
      <c r="J87" s="14" t="s">
        <v>41</v>
      </c>
      <c r="K87" s="17" t="s">
        <v>42</v>
      </c>
      <c r="L87" s="12" t="s">
        <v>43</v>
      </c>
    </row>
    <row r="88" spans="1:12" ht="15.75" x14ac:dyDescent="0.25">
      <c r="A88" s="18"/>
      <c r="B88" s="13"/>
      <c r="C88" s="19"/>
      <c r="D88" s="15"/>
      <c r="E88" s="20"/>
      <c r="F88" s="21"/>
      <c r="G88" s="21"/>
      <c r="H88" s="22"/>
      <c r="I88" s="16"/>
      <c r="J88" s="23"/>
      <c r="K88" s="24"/>
      <c r="L88" s="25"/>
    </row>
    <row r="89" spans="1:12" x14ac:dyDescent="0.2">
      <c r="A89" s="55">
        <v>1</v>
      </c>
      <c r="B89" s="2" t="s">
        <v>44</v>
      </c>
      <c r="C89" s="26">
        <v>50000</v>
      </c>
      <c r="D89" s="10"/>
      <c r="E89" s="27"/>
      <c r="F89" s="28"/>
      <c r="G89" s="28">
        <f>+C89</f>
        <v>50000</v>
      </c>
      <c r="H89" s="29">
        <f>SUM(F89+G89)</f>
        <v>50000</v>
      </c>
      <c r="I89" s="10"/>
      <c r="J89" s="30">
        <f>+H89</f>
        <v>50000</v>
      </c>
      <c r="K89" s="28"/>
      <c r="L89" s="29"/>
    </row>
    <row r="90" spans="1:12" x14ac:dyDescent="0.2">
      <c r="B90" s="2"/>
      <c r="C90" s="26"/>
      <c r="D90" s="10"/>
      <c r="E90" s="27"/>
      <c r="F90" s="28"/>
      <c r="G90" s="28"/>
      <c r="H90" s="29"/>
      <c r="I90" s="10"/>
      <c r="J90" s="30"/>
      <c r="K90" s="28"/>
      <c r="L90" s="29"/>
    </row>
    <row r="91" spans="1:12" x14ac:dyDescent="0.2">
      <c r="A91" s="55">
        <v>2</v>
      </c>
      <c r="B91" s="2" t="s">
        <v>45</v>
      </c>
      <c r="C91" s="26">
        <v>77000</v>
      </c>
      <c r="D91" s="10"/>
      <c r="E91" s="27">
        <v>1</v>
      </c>
      <c r="F91" s="28">
        <f>+C91*E91</f>
        <v>77000</v>
      </c>
      <c r="G91" s="28"/>
      <c r="H91" s="29">
        <f>SUM(F91+G91)</f>
        <v>77000</v>
      </c>
      <c r="I91" s="10"/>
      <c r="J91" s="30">
        <f>+H91</f>
        <v>77000</v>
      </c>
      <c r="K91" s="28"/>
      <c r="L91" s="29"/>
    </row>
    <row r="92" spans="1:12" x14ac:dyDescent="0.2">
      <c r="B92" s="2"/>
      <c r="C92" s="26"/>
      <c r="D92" s="10"/>
      <c r="E92" s="27"/>
      <c r="F92" s="28"/>
      <c r="G92" s="28"/>
      <c r="H92" s="29"/>
      <c r="I92" s="10"/>
      <c r="J92" s="30"/>
      <c r="K92" s="28"/>
      <c r="L92" s="29"/>
    </row>
    <row r="93" spans="1:12" ht="30" x14ac:dyDescent="0.2">
      <c r="A93" s="55">
        <v>3</v>
      </c>
      <c r="B93" s="2" t="s">
        <v>81</v>
      </c>
      <c r="C93" s="26">
        <f>+F83</f>
        <v>59350</v>
      </c>
      <c r="D93" s="10"/>
      <c r="E93" s="27">
        <v>1</v>
      </c>
      <c r="F93" s="28">
        <f>+C93*E93</f>
        <v>59350</v>
      </c>
      <c r="G93" s="28"/>
      <c r="H93" s="29">
        <f>SUM(F93+G93)</f>
        <v>59350</v>
      </c>
      <c r="I93" s="10"/>
      <c r="J93" s="30">
        <f>+H93</f>
        <v>59350</v>
      </c>
      <c r="K93" s="28"/>
      <c r="L93" s="29"/>
    </row>
    <row r="94" spans="1:12" x14ac:dyDescent="0.2">
      <c r="B94" s="2"/>
      <c r="C94" s="26"/>
      <c r="D94" s="10"/>
      <c r="E94" s="27"/>
      <c r="F94" s="28"/>
      <c r="G94" s="28"/>
      <c r="H94" s="29"/>
      <c r="I94" s="10"/>
      <c r="J94" s="30"/>
      <c r="K94" s="28"/>
      <c r="L94" s="29"/>
    </row>
    <row r="95" spans="1:12" x14ac:dyDescent="0.2">
      <c r="A95" s="55">
        <v>4</v>
      </c>
      <c r="B95" s="2" t="s">
        <v>46</v>
      </c>
      <c r="C95" s="26">
        <v>39300</v>
      </c>
      <c r="D95" s="10"/>
      <c r="E95" s="27">
        <v>1</v>
      </c>
      <c r="F95" s="28">
        <f>+C95*E95</f>
        <v>39300</v>
      </c>
      <c r="G95" s="28"/>
      <c r="H95" s="29">
        <f>SUM(F95+G95)</f>
        <v>39300</v>
      </c>
      <c r="I95" s="10"/>
      <c r="J95" s="30">
        <f>+H95</f>
        <v>39300</v>
      </c>
      <c r="K95" s="28"/>
      <c r="L95" s="29"/>
    </row>
    <row r="96" spans="1:12" x14ac:dyDescent="0.2">
      <c r="B96" s="2"/>
      <c r="C96" s="26"/>
      <c r="D96" s="10"/>
      <c r="E96" s="27"/>
      <c r="F96" s="28"/>
      <c r="G96" s="28"/>
      <c r="H96" s="29"/>
      <c r="I96" s="10"/>
      <c r="J96" s="30"/>
      <c r="K96" s="28"/>
      <c r="L96" s="29"/>
    </row>
    <row r="97" spans="1:12" x14ac:dyDescent="0.2">
      <c r="A97" s="55">
        <v>5</v>
      </c>
      <c r="B97" s="2" t="s">
        <v>47</v>
      </c>
      <c r="C97" s="26">
        <v>36000</v>
      </c>
      <c r="D97" s="10"/>
      <c r="E97" s="27">
        <v>1</v>
      </c>
      <c r="F97" s="28">
        <f>+C97*E97</f>
        <v>36000</v>
      </c>
      <c r="G97" s="28"/>
      <c r="H97" s="29">
        <f>SUM(F97+G97)</f>
        <v>36000</v>
      </c>
      <c r="I97" s="10"/>
      <c r="J97" s="30">
        <f>+H97</f>
        <v>36000</v>
      </c>
      <c r="K97" s="28"/>
      <c r="L97" s="29"/>
    </row>
    <row r="98" spans="1:12" x14ac:dyDescent="0.2">
      <c r="B98" s="2"/>
      <c r="C98" s="26"/>
      <c r="D98" s="10"/>
      <c r="E98" s="27"/>
      <c r="F98" s="28"/>
      <c r="G98" s="28"/>
      <c r="H98" s="29"/>
      <c r="I98" s="10"/>
      <c r="J98" s="30"/>
      <c r="K98" s="28"/>
      <c r="L98" s="29"/>
    </row>
    <row r="99" spans="1:12" x14ac:dyDescent="0.2">
      <c r="A99" s="55">
        <v>6</v>
      </c>
      <c r="B99" s="2" t="s">
        <v>48</v>
      </c>
      <c r="C99" s="26">
        <v>51000</v>
      </c>
      <c r="D99" s="10"/>
      <c r="E99" s="27">
        <v>1</v>
      </c>
      <c r="F99" s="28">
        <f>+C99*E99</f>
        <v>51000</v>
      </c>
      <c r="G99" s="28"/>
      <c r="H99" s="29">
        <f>SUM(F99+G99)</f>
        <v>51000</v>
      </c>
      <c r="I99" s="10"/>
      <c r="J99" s="30">
        <f>+H99</f>
        <v>51000</v>
      </c>
      <c r="K99" s="28"/>
      <c r="L99" s="29"/>
    </row>
    <row r="100" spans="1:12" x14ac:dyDescent="0.2">
      <c r="B100" s="2"/>
      <c r="C100" s="26"/>
      <c r="D100" s="10"/>
      <c r="E100" s="27"/>
      <c r="F100" s="28"/>
      <c r="G100" s="28"/>
      <c r="H100" s="29"/>
      <c r="I100" s="10"/>
      <c r="J100" s="30"/>
      <c r="K100" s="28"/>
      <c r="L100" s="29"/>
    </row>
    <row r="101" spans="1:12" x14ac:dyDescent="0.2">
      <c r="A101" s="55">
        <v>7</v>
      </c>
      <c r="B101" s="2" t="s">
        <v>49</v>
      </c>
      <c r="C101" s="31">
        <v>0</v>
      </c>
      <c r="D101" s="10"/>
      <c r="E101" s="27"/>
      <c r="F101" s="28"/>
      <c r="G101" s="32">
        <v>0</v>
      </c>
      <c r="H101" s="33">
        <v>0</v>
      </c>
      <c r="I101" s="10"/>
      <c r="J101" s="34">
        <f>+H101</f>
        <v>0</v>
      </c>
      <c r="K101" s="32">
        <v>0</v>
      </c>
      <c r="L101" s="33">
        <v>0</v>
      </c>
    </row>
    <row r="102" spans="1:12" x14ac:dyDescent="0.2">
      <c r="B102" s="2"/>
      <c r="C102" s="26"/>
      <c r="D102" s="10"/>
      <c r="E102" s="27"/>
      <c r="F102" s="28"/>
      <c r="G102" s="28"/>
      <c r="H102" s="29"/>
      <c r="I102" s="10"/>
      <c r="J102" s="30"/>
      <c r="K102" s="28"/>
      <c r="L102" s="29"/>
    </row>
    <row r="103" spans="1:12" x14ac:dyDescent="0.2">
      <c r="A103" s="55">
        <v>8</v>
      </c>
      <c r="B103" s="2" t="s">
        <v>50</v>
      </c>
      <c r="C103" s="26">
        <v>13000</v>
      </c>
      <c r="D103" s="10"/>
      <c r="E103" s="27"/>
      <c r="F103" s="28"/>
      <c r="G103" s="28">
        <f>+C103</f>
        <v>13000</v>
      </c>
      <c r="H103" s="29">
        <f>SUM(F103+G103)</f>
        <v>13000</v>
      </c>
      <c r="I103" s="10"/>
      <c r="J103" s="30">
        <f>+H103</f>
        <v>13000</v>
      </c>
      <c r="K103" s="28"/>
      <c r="L103" s="29"/>
    </row>
    <row r="104" spans="1:12" x14ac:dyDescent="0.2">
      <c r="B104" s="2"/>
      <c r="C104" s="26"/>
      <c r="D104" s="10"/>
      <c r="E104" s="27"/>
      <c r="F104" s="28"/>
      <c r="G104" s="28"/>
      <c r="H104" s="29"/>
      <c r="I104" s="10"/>
      <c r="J104" s="30"/>
      <c r="K104" s="28"/>
      <c r="L104" s="29"/>
    </row>
    <row r="105" spans="1:12" x14ac:dyDescent="0.2">
      <c r="A105" s="55">
        <v>9</v>
      </c>
      <c r="B105" s="2" t="s">
        <v>51</v>
      </c>
      <c r="C105" s="26">
        <v>30000</v>
      </c>
      <c r="D105" s="10"/>
      <c r="E105" s="27"/>
      <c r="F105" s="28"/>
      <c r="G105" s="28">
        <f>+C105</f>
        <v>30000</v>
      </c>
      <c r="H105" s="29">
        <f>SUM(F105+G105)</f>
        <v>30000</v>
      </c>
      <c r="I105" s="10"/>
      <c r="J105" s="30">
        <f>+H105</f>
        <v>30000</v>
      </c>
      <c r="K105" s="28"/>
      <c r="L105" s="29"/>
    </row>
    <row r="106" spans="1:12" x14ac:dyDescent="0.2">
      <c r="B106" s="2"/>
      <c r="C106" s="26"/>
      <c r="D106" s="10"/>
      <c r="E106" s="27"/>
      <c r="F106" s="28"/>
      <c r="G106" s="28"/>
      <c r="H106" s="29"/>
      <c r="I106" s="10"/>
      <c r="J106" s="30"/>
      <c r="K106" s="28"/>
      <c r="L106" s="29"/>
    </row>
    <row r="107" spans="1:12" x14ac:dyDescent="0.2">
      <c r="A107" s="55">
        <v>10</v>
      </c>
      <c r="B107" s="2" t="s">
        <v>52</v>
      </c>
      <c r="C107" s="26">
        <v>40000</v>
      </c>
      <c r="D107" s="10"/>
      <c r="E107" s="27"/>
      <c r="F107" s="28"/>
      <c r="G107" s="28">
        <f>+C107</f>
        <v>40000</v>
      </c>
      <c r="H107" s="29">
        <f>SUM(F107+G107)</f>
        <v>40000</v>
      </c>
      <c r="I107" s="10"/>
      <c r="J107" s="30">
        <f>+H107</f>
        <v>40000</v>
      </c>
      <c r="K107" s="28"/>
      <c r="L107" s="29"/>
    </row>
    <row r="108" spans="1:12" x14ac:dyDescent="0.2">
      <c r="B108" s="2"/>
      <c r="C108" s="26"/>
      <c r="D108" s="10"/>
      <c r="E108" s="27"/>
      <c r="F108" s="28"/>
      <c r="G108" s="28"/>
      <c r="H108" s="29"/>
      <c r="I108" s="10"/>
      <c r="J108" s="30"/>
      <c r="K108" s="28"/>
      <c r="L108" s="29"/>
    </row>
    <row r="109" spans="1:12" ht="30" x14ac:dyDescent="0.2">
      <c r="A109" s="55">
        <v>11</v>
      </c>
      <c r="B109" s="2" t="s">
        <v>53</v>
      </c>
      <c r="C109" s="26"/>
      <c r="D109" s="10"/>
      <c r="E109" s="27"/>
      <c r="F109" s="28"/>
      <c r="G109" s="28">
        <f>ROUND((F91+F93+F95+F97+F99+F111+F115+F117+F119+F122+F124+F126+F128)*0.15,0)</f>
        <v>264095</v>
      </c>
      <c r="H109" s="60">
        <f>SUM(F109+G109)</f>
        <v>264095</v>
      </c>
      <c r="I109" s="10"/>
      <c r="J109" s="30">
        <f>ROUND((SUM(F91:F99)*0.15),0)</f>
        <v>39398</v>
      </c>
      <c r="K109" s="32">
        <f>ROUND(SUM(F111:F126)*0.15,0)</f>
        <v>176143</v>
      </c>
      <c r="L109" s="33">
        <f>ROUND(F128*0.15,0)</f>
        <v>48555</v>
      </c>
    </row>
    <row r="110" spans="1:12" x14ac:dyDescent="0.2">
      <c r="B110" s="2"/>
      <c r="C110" s="26"/>
      <c r="D110" s="10"/>
      <c r="E110" s="27"/>
      <c r="F110" s="28"/>
      <c r="G110" s="28"/>
      <c r="H110" s="29"/>
      <c r="I110" s="10"/>
      <c r="J110" s="30"/>
      <c r="K110" s="32"/>
      <c r="L110" s="33"/>
    </row>
    <row r="111" spans="1:12" x14ac:dyDescent="0.2">
      <c r="A111" s="55">
        <v>12</v>
      </c>
      <c r="B111" s="2" t="s">
        <v>54</v>
      </c>
      <c r="C111" s="26"/>
      <c r="D111" s="10"/>
      <c r="E111" s="27"/>
      <c r="F111" s="28">
        <f>(F91+F93+F95+F97+F99+F115+F117+F119+F122+F124+F126+F128)*0.2045</f>
        <v>298920.71749999997</v>
      </c>
      <c r="G111" s="28"/>
      <c r="H111" s="29">
        <f>(+H91+H93+H95+H97+H99+H115+H117+H119+H122+H124+H126+H128)*0.2045</f>
        <v>298920.71749999997</v>
      </c>
      <c r="I111" s="10"/>
      <c r="J111" s="30">
        <f>ROUND((SUM(F91:F99)*0.2045),0)</f>
        <v>53712</v>
      </c>
      <c r="K111" s="32">
        <f>ROUND((SUM(F115:F126)*0.2045),0)</f>
        <v>179012</v>
      </c>
      <c r="L111" s="33">
        <f>ROUND(F128*0.2045,0)</f>
        <v>66197</v>
      </c>
    </row>
    <row r="112" spans="1:12" x14ac:dyDescent="0.2">
      <c r="B112" s="2"/>
      <c r="C112" s="26"/>
      <c r="D112" s="10"/>
      <c r="E112" s="27"/>
      <c r="F112" s="28"/>
      <c r="G112" s="28"/>
      <c r="H112" s="29"/>
      <c r="I112" s="10"/>
      <c r="J112" s="30"/>
      <c r="K112" s="32"/>
      <c r="L112" s="33"/>
    </row>
    <row r="113" spans="1:12" x14ac:dyDescent="0.2">
      <c r="A113" s="55">
        <v>13</v>
      </c>
      <c r="B113" s="2" t="s">
        <v>55</v>
      </c>
      <c r="C113" s="26">
        <v>2000</v>
      </c>
      <c r="D113" s="10"/>
      <c r="E113" s="27"/>
      <c r="F113" s="28"/>
      <c r="G113" s="28">
        <f>E136*2000</f>
        <v>54000</v>
      </c>
      <c r="H113" s="29">
        <f>SUM(F113:G113)</f>
        <v>54000</v>
      </c>
      <c r="I113" s="10"/>
      <c r="J113" s="30">
        <f>(E91+E93+E95+E97+E99)*2000</f>
        <v>10000</v>
      </c>
      <c r="K113" s="32">
        <f>ROUND(SUM(E117:E126)*2000,0)</f>
        <v>32000</v>
      </c>
      <c r="L113" s="33">
        <f>ROUND(E128*2000,0)</f>
        <v>12000</v>
      </c>
    </row>
    <row r="114" spans="1:12" x14ac:dyDescent="0.2">
      <c r="B114" s="2"/>
      <c r="C114" s="26"/>
      <c r="D114" s="10"/>
      <c r="E114" s="27"/>
      <c r="F114" s="28"/>
      <c r="G114" s="28"/>
      <c r="H114" s="29"/>
      <c r="I114" s="10"/>
      <c r="J114" s="30"/>
      <c r="K114" s="32"/>
      <c r="L114" s="33"/>
    </row>
    <row r="115" spans="1:12" ht="30" x14ac:dyDescent="0.2">
      <c r="A115" s="55">
        <v>14</v>
      </c>
      <c r="B115" s="2" t="s">
        <v>56</v>
      </c>
      <c r="C115" s="26"/>
      <c r="D115" s="10"/>
      <c r="E115" s="27"/>
      <c r="F115" s="28">
        <f>(F122+F126+F128+F117)*0.05</f>
        <v>49365</v>
      </c>
      <c r="G115" s="28"/>
      <c r="H115" s="29">
        <f>SUM(F115:G115)</f>
        <v>49365</v>
      </c>
      <c r="I115" s="10"/>
      <c r="J115" s="30"/>
      <c r="K115" s="32">
        <f>ROUND((+F117+F122+F126)*0.05,0)</f>
        <v>33180</v>
      </c>
      <c r="L115" s="33">
        <f>ROUND(F128*0.05,0)</f>
        <v>16185</v>
      </c>
    </row>
    <row r="116" spans="1:12" x14ac:dyDescent="0.2">
      <c r="B116" s="2"/>
      <c r="C116" s="26"/>
      <c r="D116" s="10"/>
      <c r="E116" s="27"/>
      <c r="F116" s="28"/>
      <c r="G116" s="28"/>
      <c r="H116" s="29"/>
      <c r="I116" s="10"/>
      <c r="J116" s="30"/>
      <c r="K116" s="28"/>
      <c r="L116" s="29"/>
    </row>
    <row r="117" spans="1:12" x14ac:dyDescent="0.2">
      <c r="A117" s="55">
        <v>15</v>
      </c>
      <c r="B117" s="2" t="s">
        <v>57</v>
      </c>
      <c r="C117" s="26">
        <f>+F83</f>
        <v>59350</v>
      </c>
      <c r="D117" s="10"/>
      <c r="E117" s="27">
        <f>ROUND((E128+E126+E124+E122+E119)/6,0)</f>
        <v>3</v>
      </c>
      <c r="F117" s="28">
        <f>F83*E117</f>
        <v>178050</v>
      </c>
      <c r="G117" s="28"/>
      <c r="H117" s="29">
        <f>SUM(F117:G117)</f>
        <v>178050</v>
      </c>
      <c r="I117" s="10"/>
      <c r="J117" s="27"/>
      <c r="K117" s="32">
        <f>ROUND(F117*((+E$49+E$51+E$53)/(E$49+E$51+E$53+E$55)),0)</f>
        <v>112157</v>
      </c>
      <c r="L117" s="33">
        <f>ROUND((+F117*(E$55/(+E$49+E$51+E$53+E$55))),0)</f>
        <v>65893</v>
      </c>
    </row>
    <row r="118" spans="1:12" x14ac:dyDescent="0.2">
      <c r="B118" s="2"/>
      <c r="C118" s="26"/>
      <c r="D118" s="10"/>
      <c r="E118" s="27"/>
      <c r="F118" s="28"/>
      <c r="G118" s="28"/>
      <c r="H118" s="29"/>
      <c r="I118" s="10"/>
      <c r="J118" s="30"/>
      <c r="K118" s="28"/>
      <c r="L118" s="29"/>
    </row>
    <row r="119" spans="1:12" x14ac:dyDescent="0.2">
      <c r="A119" s="55">
        <v>16</v>
      </c>
      <c r="B119" s="2" t="s">
        <v>58</v>
      </c>
      <c r="C119" s="26">
        <f>+F84</f>
        <v>36150</v>
      </c>
      <c r="D119" s="10"/>
      <c r="E119" s="27">
        <f>ROUND((E128+E126+E124+E122)/5,0)</f>
        <v>3</v>
      </c>
      <c r="F119" s="28">
        <f>F84*E119</f>
        <v>108450</v>
      </c>
      <c r="G119" s="28"/>
      <c r="H119" s="29">
        <f>SUM(F119:G119)</f>
        <v>108450</v>
      </c>
      <c r="I119" s="10"/>
      <c r="J119" s="30"/>
      <c r="K119" s="32">
        <f>ROUND(F119*((+E$49+E$51+E$53)/(E$49+E$51+E$53+E$55)),0)</f>
        <v>68315</v>
      </c>
      <c r="L119" s="33">
        <f>ROUND((+F119*(E$55/(+E$49+E$51+E$53+E$55))),0)</f>
        <v>40135</v>
      </c>
    </row>
    <row r="120" spans="1:12" x14ac:dyDescent="0.2">
      <c r="B120" s="2"/>
      <c r="C120" s="26"/>
      <c r="D120" s="10"/>
      <c r="E120" s="27"/>
      <c r="F120" s="28"/>
      <c r="G120" s="28"/>
      <c r="H120" s="29"/>
      <c r="I120" s="10"/>
      <c r="J120" s="30"/>
      <c r="K120" s="28"/>
      <c r="L120" s="29"/>
    </row>
    <row r="121" spans="1:12" ht="15.75" x14ac:dyDescent="0.25">
      <c r="A121" s="18" t="s">
        <v>59</v>
      </c>
      <c r="B121" s="2"/>
      <c r="C121" s="26"/>
      <c r="D121" s="10"/>
      <c r="E121" s="27"/>
      <c r="F121" s="28"/>
      <c r="G121" s="28"/>
      <c r="H121" s="29"/>
      <c r="I121" s="10"/>
      <c r="J121" s="30"/>
      <c r="K121" s="28"/>
      <c r="L121" s="29"/>
    </row>
    <row r="122" spans="1:12" x14ac:dyDescent="0.2">
      <c r="A122" s="36">
        <v>17</v>
      </c>
      <c r="B122" s="37" t="s">
        <v>60</v>
      </c>
      <c r="C122" s="38">
        <f>+F82</f>
        <v>53950</v>
      </c>
      <c r="D122" s="39"/>
      <c r="E122" s="40">
        <f>ROUND(C78/30,0)</f>
        <v>4</v>
      </c>
      <c r="F122" s="41">
        <f>F82*E122</f>
        <v>215800</v>
      </c>
      <c r="G122" s="41"/>
      <c r="H122" s="35">
        <f>SUM(F122:G122)</f>
        <v>215800</v>
      </c>
      <c r="I122" s="39"/>
      <c r="J122" s="42"/>
      <c r="K122" s="28">
        <f>F82*E122</f>
        <v>215800</v>
      </c>
      <c r="L122" s="29"/>
    </row>
    <row r="123" spans="1:12" x14ac:dyDescent="0.2">
      <c r="A123" s="37"/>
      <c r="B123" s="37"/>
      <c r="C123" s="26"/>
      <c r="D123" s="10"/>
      <c r="E123" s="27"/>
      <c r="F123" s="28"/>
      <c r="G123" s="28"/>
      <c r="H123" s="29"/>
      <c r="I123" s="10"/>
      <c r="J123" s="30"/>
      <c r="K123" s="28"/>
      <c r="L123" s="29"/>
    </row>
    <row r="124" spans="1:12" ht="30" x14ac:dyDescent="0.2">
      <c r="A124" s="36">
        <v>18</v>
      </c>
      <c r="B124" s="37" t="s">
        <v>61</v>
      </c>
      <c r="C124" s="26">
        <f>+F82</f>
        <v>53950</v>
      </c>
      <c r="D124" s="10"/>
      <c r="E124" s="27">
        <v>1</v>
      </c>
      <c r="F124" s="28">
        <f>F82*E124</f>
        <v>53950</v>
      </c>
      <c r="G124" s="28"/>
      <c r="H124" s="29">
        <f>SUM(F124:G124)</f>
        <v>53950</v>
      </c>
      <c r="I124" s="10"/>
      <c r="J124" s="30" t="s">
        <v>62</v>
      </c>
      <c r="K124" s="28">
        <f>ROUND(E124*F82,0)</f>
        <v>53950</v>
      </c>
      <c r="L124" s="29"/>
    </row>
    <row r="125" spans="1:12" x14ac:dyDescent="0.2">
      <c r="A125" s="37"/>
      <c r="B125" s="37"/>
      <c r="C125" s="26"/>
      <c r="D125" s="10"/>
      <c r="E125" s="27"/>
      <c r="F125" s="28"/>
      <c r="G125" s="28"/>
      <c r="H125" s="29"/>
      <c r="I125" s="10"/>
      <c r="J125" s="30"/>
      <c r="K125" s="28"/>
      <c r="L125" s="29"/>
    </row>
    <row r="126" spans="1:12" x14ac:dyDescent="0.2">
      <c r="A126" s="37">
        <v>19</v>
      </c>
      <c r="B126" s="37" t="s">
        <v>63</v>
      </c>
      <c r="C126" s="26">
        <f>+F82</f>
        <v>53950</v>
      </c>
      <c r="D126" s="10"/>
      <c r="E126" s="27">
        <f>ROUND(C78/20,0)</f>
        <v>5</v>
      </c>
      <c r="F126" s="28">
        <f>F82*E126</f>
        <v>269750</v>
      </c>
      <c r="G126" s="28"/>
      <c r="H126" s="29">
        <f>SUM(F126:G126)</f>
        <v>269750</v>
      </c>
      <c r="I126" s="10"/>
      <c r="J126" s="30"/>
      <c r="K126" s="28">
        <f>F82*E126</f>
        <v>269750</v>
      </c>
      <c r="L126" s="29"/>
    </row>
    <row r="127" spans="1:12" x14ac:dyDescent="0.2">
      <c r="A127" s="37"/>
      <c r="B127" s="37"/>
      <c r="C127" s="26"/>
      <c r="D127" s="10"/>
      <c r="E127" s="27"/>
      <c r="F127" s="28"/>
      <c r="G127" s="28"/>
      <c r="H127" s="29"/>
      <c r="I127" s="10"/>
      <c r="J127" s="30"/>
      <c r="K127" s="28"/>
      <c r="L127" s="29"/>
    </row>
    <row r="128" spans="1:12" x14ac:dyDescent="0.2">
      <c r="A128" s="37">
        <v>20</v>
      </c>
      <c r="B128" s="37" t="s">
        <v>64</v>
      </c>
      <c r="C128" s="26">
        <f>+F82</f>
        <v>53950</v>
      </c>
      <c r="D128" s="10"/>
      <c r="E128" s="27">
        <f>ROUND(C79/20,0)</f>
        <v>6</v>
      </c>
      <c r="F128" s="28">
        <f>F82*E128</f>
        <v>323700</v>
      </c>
      <c r="G128" s="28"/>
      <c r="H128" s="29">
        <f>SUM(F128:G128)</f>
        <v>323700</v>
      </c>
      <c r="I128" s="10"/>
      <c r="J128" s="30"/>
      <c r="K128" s="28"/>
      <c r="L128" s="29">
        <f>F82*E128</f>
        <v>323700</v>
      </c>
    </row>
    <row r="129" spans="1:12" x14ac:dyDescent="0.2">
      <c r="A129" s="37"/>
      <c r="B129" s="37"/>
      <c r="C129" s="26"/>
      <c r="D129" s="10"/>
      <c r="E129" s="27"/>
      <c r="F129" s="28"/>
      <c r="G129" s="28"/>
      <c r="H129" s="29"/>
      <c r="I129" s="10"/>
      <c r="J129" s="30"/>
      <c r="K129" s="28"/>
      <c r="L129" s="29"/>
    </row>
    <row r="130" spans="1:12" x14ac:dyDescent="0.2">
      <c r="A130" s="37">
        <v>21</v>
      </c>
      <c r="B130" s="37" t="s">
        <v>65</v>
      </c>
      <c r="C130" s="31"/>
      <c r="D130" s="43"/>
      <c r="E130" s="27"/>
      <c r="F130" s="28"/>
      <c r="G130" s="28">
        <f>ROUND(125*C77,0)</f>
        <v>222500</v>
      </c>
      <c r="H130" s="29">
        <f>SUM(F130:G130)</f>
        <v>222500</v>
      </c>
      <c r="I130" s="10"/>
      <c r="J130" s="30" t="s">
        <v>62</v>
      </c>
      <c r="K130" s="29">
        <f>ROUND(125/2*C77,0)</f>
        <v>111250</v>
      </c>
      <c r="L130" s="29">
        <f>ROUND(125/2*C77,0)</f>
        <v>111250</v>
      </c>
    </row>
    <row r="131" spans="1:12" x14ac:dyDescent="0.2">
      <c r="A131" s="37"/>
      <c r="B131" s="37"/>
      <c r="C131" s="26"/>
      <c r="D131" s="10"/>
      <c r="E131" s="27"/>
      <c r="F131" s="28"/>
      <c r="G131" s="28"/>
      <c r="H131" s="29"/>
      <c r="I131" s="10"/>
      <c r="J131" s="30"/>
      <c r="K131" s="28"/>
      <c r="L131" s="29"/>
    </row>
    <row r="132" spans="1:12" x14ac:dyDescent="0.2">
      <c r="A132" s="37">
        <v>22</v>
      </c>
      <c r="B132" s="37" t="s">
        <v>66</v>
      </c>
      <c r="C132" s="26">
        <v>10000</v>
      </c>
      <c r="D132" s="10"/>
      <c r="E132" s="27"/>
      <c r="F132" s="28"/>
      <c r="G132" s="28">
        <f>(E91+E117+E122+E124+E126+E128)*10000</f>
        <v>200000</v>
      </c>
      <c r="H132" s="29">
        <f>SUM(F132:G132)</f>
        <v>200000</v>
      </c>
      <c r="I132" s="10"/>
      <c r="J132" s="30">
        <f>ROUND(10000*E91,0)</f>
        <v>10000</v>
      </c>
      <c r="K132" s="32">
        <f>ROUND(10000*(+E126+E124+E122+E117),0)</f>
        <v>130000</v>
      </c>
      <c r="L132" s="33">
        <f>ROUND(10000*E128,0)</f>
        <v>60000</v>
      </c>
    </row>
    <row r="133" spans="1:12" x14ac:dyDescent="0.2">
      <c r="A133" s="37"/>
      <c r="B133" s="37"/>
      <c r="C133" s="26"/>
      <c r="D133" s="10"/>
      <c r="E133" s="27"/>
      <c r="F133" s="28"/>
      <c r="G133" s="28"/>
      <c r="H133" s="29"/>
      <c r="I133" s="10"/>
      <c r="J133" s="30"/>
      <c r="K133" s="32"/>
      <c r="L133" s="33"/>
    </row>
    <row r="134" spans="1:12" x14ac:dyDescent="0.2">
      <c r="A134" s="37">
        <v>23</v>
      </c>
      <c r="B134" s="37" t="s">
        <v>82</v>
      </c>
      <c r="C134" s="26"/>
      <c r="D134" s="10"/>
      <c r="E134" s="27"/>
      <c r="F134" s="28"/>
      <c r="G134" s="28">
        <v>36800</v>
      </c>
      <c r="H134" s="29">
        <f>+G134</f>
        <v>36800</v>
      </c>
      <c r="I134" s="10"/>
      <c r="J134" s="30"/>
      <c r="K134" s="32"/>
      <c r="L134" s="33">
        <f>+H134</f>
        <v>36800</v>
      </c>
    </row>
    <row r="135" spans="1:12" x14ac:dyDescent="0.2">
      <c r="B135" s="2"/>
      <c r="C135" s="26"/>
      <c r="D135" s="10"/>
      <c r="E135" s="27"/>
      <c r="F135" s="28"/>
      <c r="G135" s="28"/>
      <c r="H135" s="29"/>
      <c r="I135" s="10"/>
      <c r="J135" s="30"/>
      <c r="K135" s="28"/>
      <c r="L135" s="29"/>
    </row>
    <row r="136" spans="1:12" ht="15.75" x14ac:dyDescent="0.25">
      <c r="B136" s="3" t="s">
        <v>67</v>
      </c>
      <c r="C136" s="44"/>
      <c r="D136" s="10"/>
      <c r="E136" s="45">
        <f>SUM(E89:E132)</f>
        <v>27</v>
      </c>
      <c r="F136" s="46">
        <f>SUM(F89:F134)</f>
        <v>1760635.7175</v>
      </c>
      <c r="G136" s="46">
        <f>SUM(G89:G134)</f>
        <v>910395</v>
      </c>
      <c r="H136" s="47">
        <f>SUM(H89:H135)</f>
        <v>2671030.7175000003</v>
      </c>
      <c r="I136" s="10"/>
      <c r="J136" s="48">
        <f>SUM(J89:J134)</f>
        <v>508760</v>
      </c>
      <c r="K136" s="46">
        <f>SUM(K89:K135)</f>
        <v>1381557</v>
      </c>
      <c r="L136" s="47">
        <f>SUM(L89:L135)</f>
        <v>780715</v>
      </c>
    </row>
    <row r="137" spans="1:12" x14ac:dyDescent="0.2">
      <c r="B137" s="49"/>
      <c r="J137" s="50"/>
      <c r="L137" s="50"/>
    </row>
    <row r="138" spans="1:12" x14ac:dyDescent="0.2">
      <c r="B138" s="49"/>
      <c r="J138" s="50"/>
      <c r="L138" s="50"/>
    </row>
    <row r="139" spans="1:12" x14ac:dyDescent="0.2">
      <c r="A139" s="37">
        <v>24</v>
      </c>
      <c r="B139" s="55" t="s">
        <v>68</v>
      </c>
      <c r="C139" s="8"/>
      <c r="D139" s="8"/>
      <c r="E139" s="11"/>
      <c r="L139" s="10">
        <f>+J136+K136+L136</f>
        <v>2671032</v>
      </c>
    </row>
    <row r="140" spans="1:12" x14ac:dyDescent="0.2">
      <c r="A140" s="37">
        <v>25</v>
      </c>
      <c r="B140" s="55" t="s">
        <v>69</v>
      </c>
      <c r="C140" s="7"/>
      <c r="D140" s="7"/>
      <c r="E140" s="11"/>
      <c r="L140" s="10">
        <v>1630012</v>
      </c>
    </row>
    <row r="141" spans="1:12" ht="15.75" x14ac:dyDescent="0.25">
      <c r="A141" s="37">
        <v>26</v>
      </c>
      <c r="B141" s="55" t="s">
        <v>182</v>
      </c>
      <c r="C141" s="7"/>
      <c r="D141" s="7"/>
      <c r="E141" s="11"/>
      <c r="J141" s="10" t="s">
        <v>62</v>
      </c>
      <c r="L141" s="51">
        <f>+L139-L140</f>
        <v>1041020</v>
      </c>
    </row>
    <row r="142" spans="1:12" x14ac:dyDescent="0.2">
      <c r="B142" s="8"/>
      <c r="C142" s="7"/>
      <c r="D142" s="7"/>
      <c r="E142" s="11"/>
      <c r="J142" s="10"/>
      <c r="L142" s="10"/>
    </row>
    <row r="143" spans="1:12" ht="78.75" x14ac:dyDescent="0.25">
      <c r="B143" s="8"/>
      <c r="C143" s="7"/>
      <c r="D143" s="7"/>
      <c r="E143" s="11"/>
      <c r="J143" s="51" t="s">
        <v>71</v>
      </c>
      <c r="K143" s="52" t="s">
        <v>72</v>
      </c>
      <c r="L143" s="53" t="s">
        <v>73</v>
      </c>
    </row>
    <row r="144" spans="1:12" ht="15.75" x14ac:dyDescent="0.25">
      <c r="B144" s="8" t="s">
        <v>74</v>
      </c>
      <c r="C144" s="7"/>
      <c r="D144" s="7"/>
      <c r="E144" s="11"/>
      <c r="J144" s="10">
        <f>+J136+K136</f>
        <v>1890317</v>
      </c>
      <c r="K144" s="10">
        <f>+L140</f>
        <v>1630012</v>
      </c>
      <c r="L144" s="51">
        <f>+J144-K144</f>
        <v>260305</v>
      </c>
    </row>
    <row r="145" spans="1:12" ht="15.75" x14ac:dyDescent="0.25">
      <c r="B145" s="54" t="s">
        <v>75</v>
      </c>
      <c r="C145" s="7"/>
      <c r="D145" s="7"/>
      <c r="E145" s="11"/>
      <c r="J145" s="10">
        <f>+L136</f>
        <v>780715</v>
      </c>
      <c r="K145" s="10" t="s">
        <v>62</v>
      </c>
      <c r="L145" s="51">
        <f>+J145</f>
        <v>780715</v>
      </c>
    </row>
    <row r="146" spans="1:12" ht="15.75" x14ac:dyDescent="0.25">
      <c r="A146" s="56"/>
      <c r="B146" s="54"/>
      <c r="C146" s="7"/>
      <c r="D146" s="7"/>
      <c r="E146" s="11"/>
      <c r="J146" s="10"/>
      <c r="K146" s="10"/>
      <c r="L146" s="10"/>
    </row>
    <row r="148" spans="1:12" x14ac:dyDescent="0.2">
      <c r="A148" s="1" t="s">
        <v>23</v>
      </c>
      <c r="B148" s="2"/>
    </row>
    <row r="149" spans="1:12" ht="15.75" x14ac:dyDescent="0.25">
      <c r="A149" s="56" t="s">
        <v>24</v>
      </c>
      <c r="B149" s="3"/>
      <c r="C149" s="56" t="s">
        <v>10</v>
      </c>
    </row>
    <row r="150" spans="1:12" x14ac:dyDescent="0.2">
      <c r="A150" s="55" t="s">
        <v>26</v>
      </c>
      <c r="B150" s="2"/>
    </row>
    <row r="151" spans="1:12" x14ac:dyDescent="0.2">
      <c r="B151" s="2"/>
      <c r="C151" s="4"/>
      <c r="D151" s="4"/>
    </row>
    <row r="152" spans="1:12" x14ac:dyDescent="0.2">
      <c r="B152" s="2"/>
      <c r="C152" s="5"/>
      <c r="D152" s="5"/>
    </row>
    <row r="153" spans="1:12" ht="15.75" x14ac:dyDescent="0.25">
      <c r="A153" s="55" t="s">
        <v>27</v>
      </c>
      <c r="B153" s="2"/>
      <c r="C153" s="6">
        <v>682</v>
      </c>
      <c r="D153" s="4"/>
      <c r="E153" s="7"/>
    </row>
    <row r="154" spans="1:12" ht="15.75" x14ac:dyDescent="0.25">
      <c r="A154" s="55" t="s">
        <v>28</v>
      </c>
      <c r="B154" s="2"/>
      <c r="C154" s="6">
        <f>C153*0.06</f>
        <v>40.92</v>
      </c>
      <c r="D154" s="4"/>
      <c r="E154" s="7"/>
    </row>
    <row r="155" spans="1:12" ht="15.75" x14ac:dyDescent="0.25">
      <c r="A155" s="55" t="s">
        <v>29</v>
      </c>
      <c r="B155" s="2"/>
      <c r="C155" s="6">
        <f>C153/3*0.2</f>
        <v>45.466666666666669</v>
      </c>
      <c r="D155" s="6"/>
      <c r="E155" s="7"/>
    </row>
    <row r="156" spans="1:12" ht="15.75" x14ac:dyDescent="0.25">
      <c r="B156" s="2" t="s">
        <v>30</v>
      </c>
      <c r="C156" s="6"/>
      <c r="D156" s="4"/>
      <c r="E156" s="7"/>
    </row>
    <row r="157" spans="1:12" x14ac:dyDescent="0.2">
      <c r="B157" s="2"/>
    </row>
    <row r="158" spans="1:12" x14ac:dyDescent="0.2">
      <c r="A158" s="7" t="s">
        <v>31</v>
      </c>
      <c r="B158" s="8"/>
      <c r="D158" s="9"/>
      <c r="F158" s="9">
        <v>53950</v>
      </c>
      <c r="H158" s="10"/>
      <c r="I158" s="10"/>
    </row>
    <row r="159" spans="1:12" x14ac:dyDescent="0.2">
      <c r="A159" s="7" t="s">
        <v>32</v>
      </c>
      <c r="B159" s="8"/>
      <c r="D159" s="9"/>
      <c r="F159" s="9">
        <v>59350</v>
      </c>
      <c r="H159" s="10"/>
      <c r="I159" s="10"/>
    </row>
    <row r="160" spans="1:12" x14ac:dyDescent="0.2">
      <c r="A160" s="7" t="s">
        <v>33</v>
      </c>
      <c r="B160" s="8"/>
      <c r="D160" s="9"/>
      <c r="F160" s="9">
        <v>36150</v>
      </c>
      <c r="H160" s="10"/>
      <c r="I160" s="10"/>
    </row>
    <row r="161" spans="1:12" x14ac:dyDescent="0.2">
      <c r="A161" s="7"/>
      <c r="B161" s="8"/>
      <c r="C161" s="11"/>
      <c r="D161" s="11"/>
      <c r="H161" s="10"/>
      <c r="I161" s="10"/>
    </row>
    <row r="162" spans="1:12" ht="15.75" x14ac:dyDescent="0.25">
      <c r="B162" s="2"/>
      <c r="J162" s="12" t="s">
        <v>34</v>
      </c>
      <c r="K162" s="412" t="s">
        <v>35</v>
      </c>
      <c r="L162" s="413"/>
    </row>
    <row r="163" spans="1:12" ht="31.5" x14ac:dyDescent="0.25">
      <c r="A163" s="56" t="s">
        <v>36</v>
      </c>
      <c r="B163" s="13"/>
      <c r="C163" s="14" t="s">
        <v>37</v>
      </c>
      <c r="D163" s="15"/>
      <c r="E163" s="12" t="s">
        <v>38</v>
      </c>
      <c r="F163" s="12" t="s">
        <v>39</v>
      </c>
      <c r="G163" s="12" t="s">
        <v>40</v>
      </c>
      <c r="H163" s="12" t="s">
        <v>0</v>
      </c>
      <c r="I163" s="16"/>
      <c r="J163" s="14" t="s">
        <v>41</v>
      </c>
      <c r="K163" s="17" t="s">
        <v>42</v>
      </c>
      <c r="L163" s="12" t="s">
        <v>43</v>
      </c>
    </row>
    <row r="164" spans="1:12" ht="15.75" x14ac:dyDescent="0.25">
      <c r="A164" s="18"/>
      <c r="B164" s="13"/>
      <c r="C164" s="19"/>
      <c r="D164" s="15"/>
      <c r="E164" s="20"/>
      <c r="F164" s="21"/>
      <c r="G164" s="21"/>
      <c r="H164" s="22"/>
      <c r="I164" s="16"/>
      <c r="J164" s="23"/>
      <c r="K164" s="24"/>
      <c r="L164" s="25"/>
    </row>
    <row r="165" spans="1:12" x14ac:dyDescent="0.2">
      <c r="A165" s="55">
        <v>1</v>
      </c>
      <c r="B165" s="2" t="s">
        <v>44</v>
      </c>
      <c r="C165" s="26">
        <v>50000</v>
      </c>
      <c r="D165" s="10"/>
      <c r="E165" s="27"/>
      <c r="F165" s="28"/>
      <c r="G165" s="28">
        <f>+C165</f>
        <v>50000</v>
      </c>
      <c r="H165" s="29">
        <f>SUM(F165+G165)</f>
        <v>50000</v>
      </c>
      <c r="I165" s="10"/>
      <c r="J165" s="30">
        <f>+H165</f>
        <v>50000</v>
      </c>
      <c r="K165" s="28"/>
      <c r="L165" s="29"/>
    </row>
    <row r="166" spans="1:12" x14ac:dyDescent="0.2">
      <c r="B166" s="2"/>
      <c r="C166" s="26"/>
      <c r="D166" s="10"/>
      <c r="E166" s="27"/>
      <c r="F166" s="28"/>
      <c r="G166" s="28"/>
      <c r="H166" s="29"/>
      <c r="I166" s="10"/>
      <c r="J166" s="30"/>
      <c r="K166" s="28"/>
      <c r="L166" s="29"/>
    </row>
    <row r="167" spans="1:12" x14ac:dyDescent="0.2">
      <c r="A167" s="55">
        <v>2</v>
      </c>
      <c r="B167" s="2" t="s">
        <v>45</v>
      </c>
      <c r="C167" s="26">
        <v>77000</v>
      </c>
      <c r="D167" s="10"/>
      <c r="E167" s="27">
        <v>1</v>
      </c>
      <c r="F167" s="28">
        <f>+C167*E167</f>
        <v>77000</v>
      </c>
      <c r="G167" s="28"/>
      <c r="H167" s="29">
        <f>SUM(F167+G167)</f>
        <v>77000</v>
      </c>
      <c r="I167" s="10"/>
      <c r="J167" s="30">
        <f>+H167</f>
        <v>77000</v>
      </c>
      <c r="K167" s="28"/>
      <c r="L167" s="29"/>
    </row>
    <row r="168" spans="1:12" x14ac:dyDescent="0.2">
      <c r="B168" s="2"/>
      <c r="C168" s="26"/>
      <c r="D168" s="10"/>
      <c r="E168" s="27"/>
      <c r="F168" s="28"/>
      <c r="G168" s="28"/>
      <c r="H168" s="29"/>
      <c r="I168" s="10"/>
      <c r="J168" s="30"/>
      <c r="K168" s="28"/>
      <c r="L168" s="29"/>
    </row>
    <row r="169" spans="1:12" ht="30" x14ac:dyDescent="0.2">
      <c r="A169" s="55">
        <v>3</v>
      </c>
      <c r="B169" s="2" t="s">
        <v>81</v>
      </c>
      <c r="C169" s="26">
        <f>+F159</f>
        <v>59350</v>
      </c>
      <c r="D169" s="10"/>
      <c r="E169" s="27">
        <v>1</v>
      </c>
      <c r="F169" s="28">
        <f>+C169*E169</f>
        <v>59350</v>
      </c>
      <c r="G169" s="28"/>
      <c r="H169" s="29">
        <f>SUM(F169+G169)</f>
        <v>59350</v>
      </c>
      <c r="I169" s="10"/>
      <c r="J169" s="30">
        <f>+H169</f>
        <v>59350</v>
      </c>
      <c r="K169" s="28"/>
      <c r="L169" s="29"/>
    </row>
    <row r="170" spans="1:12" x14ac:dyDescent="0.2">
      <c r="B170" s="2"/>
      <c r="C170" s="26"/>
      <c r="D170" s="10"/>
      <c r="E170" s="27"/>
      <c r="F170" s="28"/>
      <c r="G170" s="28"/>
      <c r="H170" s="29"/>
      <c r="I170" s="10"/>
      <c r="J170" s="30"/>
      <c r="K170" s="28"/>
      <c r="L170" s="29"/>
    </row>
    <row r="171" spans="1:12" x14ac:dyDescent="0.2">
      <c r="A171" s="55">
        <v>4</v>
      </c>
      <c r="B171" s="2" t="s">
        <v>46</v>
      </c>
      <c r="C171" s="26">
        <v>39300</v>
      </c>
      <c r="D171" s="10"/>
      <c r="E171" s="27">
        <v>0</v>
      </c>
      <c r="F171" s="28">
        <f>+C171*E171</f>
        <v>0</v>
      </c>
      <c r="G171" s="28"/>
      <c r="H171" s="29">
        <f>SUM(F171+G171)</f>
        <v>0</v>
      </c>
      <c r="I171" s="10"/>
      <c r="J171" s="30">
        <f>+H171</f>
        <v>0</v>
      </c>
      <c r="K171" s="28"/>
      <c r="L171" s="29"/>
    </row>
    <row r="172" spans="1:12" x14ac:dyDescent="0.2">
      <c r="B172" s="2"/>
      <c r="C172" s="26"/>
      <c r="D172" s="10"/>
      <c r="E172" s="27"/>
      <c r="F172" s="28"/>
      <c r="G172" s="28"/>
      <c r="H172" s="29"/>
      <c r="I172" s="10"/>
      <c r="J172" s="30"/>
      <c r="K172" s="28"/>
      <c r="L172" s="29"/>
    </row>
    <row r="173" spans="1:12" x14ac:dyDescent="0.2">
      <c r="A173" s="55">
        <v>5</v>
      </c>
      <c r="B173" s="2" t="s">
        <v>47</v>
      </c>
      <c r="C173" s="26">
        <v>36000</v>
      </c>
      <c r="D173" s="10"/>
      <c r="E173" s="27">
        <v>0</v>
      </c>
      <c r="F173" s="28">
        <f>+C173*E173</f>
        <v>0</v>
      </c>
      <c r="G173" s="28"/>
      <c r="H173" s="29">
        <f>SUM(F173+G173)</f>
        <v>0</v>
      </c>
      <c r="I173" s="10"/>
      <c r="J173" s="30">
        <f>+H173</f>
        <v>0</v>
      </c>
      <c r="K173" s="28"/>
      <c r="L173" s="29"/>
    </row>
    <row r="174" spans="1:12" x14ac:dyDescent="0.2">
      <c r="B174" s="2"/>
      <c r="C174" s="26"/>
      <c r="D174" s="10"/>
      <c r="E174" s="27"/>
      <c r="F174" s="28"/>
      <c r="G174" s="28"/>
      <c r="H174" s="29"/>
      <c r="I174" s="10"/>
      <c r="J174" s="30"/>
      <c r="K174" s="28"/>
      <c r="L174" s="29"/>
    </row>
    <row r="175" spans="1:12" x14ac:dyDescent="0.2">
      <c r="A175" s="55">
        <v>6</v>
      </c>
      <c r="B175" s="2" t="s">
        <v>48</v>
      </c>
      <c r="C175" s="26">
        <v>51000</v>
      </c>
      <c r="D175" s="10"/>
      <c r="E175" s="27">
        <v>1</v>
      </c>
      <c r="F175" s="28">
        <f>+C175*E175</f>
        <v>51000</v>
      </c>
      <c r="G175" s="28"/>
      <c r="H175" s="29">
        <f>SUM(F175+G175)</f>
        <v>51000</v>
      </c>
      <c r="I175" s="10"/>
      <c r="J175" s="30">
        <f>+H175</f>
        <v>51000</v>
      </c>
      <c r="K175" s="28"/>
      <c r="L175" s="29"/>
    </row>
    <row r="176" spans="1:12" x14ac:dyDescent="0.2">
      <c r="B176" s="2"/>
      <c r="C176" s="26"/>
      <c r="D176" s="10"/>
      <c r="E176" s="27"/>
      <c r="F176" s="28"/>
      <c r="G176" s="28"/>
      <c r="H176" s="29"/>
      <c r="I176" s="10"/>
      <c r="J176" s="30"/>
      <c r="K176" s="28"/>
      <c r="L176" s="29"/>
    </row>
    <row r="177" spans="1:12" x14ac:dyDescent="0.2">
      <c r="A177" s="55">
        <v>7</v>
      </c>
      <c r="B177" s="2" t="s">
        <v>49</v>
      </c>
      <c r="C177" s="31">
        <v>0</v>
      </c>
      <c r="D177" s="10"/>
      <c r="E177" s="27"/>
      <c r="F177" s="28"/>
      <c r="G177" s="32">
        <v>0</v>
      </c>
      <c r="H177" s="33">
        <v>0</v>
      </c>
      <c r="I177" s="10"/>
      <c r="J177" s="34">
        <f>+H177</f>
        <v>0</v>
      </c>
      <c r="K177" s="32">
        <v>0</v>
      </c>
      <c r="L177" s="33">
        <v>0</v>
      </c>
    </row>
    <row r="178" spans="1:12" x14ac:dyDescent="0.2">
      <c r="B178" s="2"/>
      <c r="C178" s="26"/>
      <c r="D178" s="10"/>
      <c r="E178" s="27"/>
      <c r="F178" s="28"/>
      <c r="G178" s="28"/>
      <c r="H178" s="29"/>
      <c r="I178" s="10"/>
      <c r="J178" s="30"/>
      <c r="K178" s="28"/>
      <c r="L178" s="29"/>
    </row>
    <row r="179" spans="1:12" x14ac:dyDescent="0.2">
      <c r="A179" s="55">
        <v>8</v>
      </c>
      <c r="B179" s="2" t="s">
        <v>50</v>
      </c>
      <c r="C179" s="26">
        <v>13000</v>
      </c>
      <c r="D179" s="10"/>
      <c r="E179" s="27"/>
      <c r="F179" s="28"/>
      <c r="G179" s="28">
        <f>+C179</f>
        <v>13000</v>
      </c>
      <c r="H179" s="29">
        <f>SUM(F179+G179)</f>
        <v>13000</v>
      </c>
      <c r="I179" s="10"/>
      <c r="J179" s="30">
        <f>+H179</f>
        <v>13000</v>
      </c>
      <c r="K179" s="28"/>
      <c r="L179" s="29"/>
    </row>
    <row r="180" spans="1:12" x14ac:dyDescent="0.2">
      <c r="B180" s="2"/>
      <c r="C180" s="26"/>
      <c r="D180" s="10"/>
      <c r="E180" s="27"/>
      <c r="F180" s="28"/>
      <c r="G180" s="28"/>
      <c r="H180" s="29"/>
      <c r="I180" s="10"/>
      <c r="J180" s="30"/>
      <c r="K180" s="28"/>
      <c r="L180" s="29"/>
    </row>
    <row r="181" spans="1:12" x14ac:dyDescent="0.2">
      <c r="A181" s="55">
        <v>9</v>
      </c>
      <c r="B181" s="2" t="s">
        <v>51</v>
      </c>
      <c r="C181" s="26">
        <v>30000</v>
      </c>
      <c r="D181" s="10"/>
      <c r="E181" s="27"/>
      <c r="F181" s="28"/>
      <c r="G181" s="28">
        <f>+C181</f>
        <v>30000</v>
      </c>
      <c r="H181" s="29">
        <f>SUM(F181+G181)</f>
        <v>30000</v>
      </c>
      <c r="I181" s="10"/>
      <c r="J181" s="30">
        <f>+H181</f>
        <v>30000</v>
      </c>
      <c r="K181" s="28"/>
      <c r="L181" s="29"/>
    </row>
    <row r="182" spans="1:12" x14ac:dyDescent="0.2">
      <c r="B182" s="2"/>
      <c r="C182" s="26"/>
      <c r="D182" s="10"/>
      <c r="E182" s="27"/>
      <c r="F182" s="28"/>
      <c r="G182" s="28"/>
      <c r="H182" s="29"/>
      <c r="I182" s="10"/>
      <c r="J182" s="30"/>
      <c r="K182" s="28"/>
      <c r="L182" s="29"/>
    </row>
    <row r="183" spans="1:12" x14ac:dyDescent="0.2">
      <c r="A183" s="55">
        <v>10</v>
      </c>
      <c r="B183" s="2" t="s">
        <v>52</v>
      </c>
      <c r="C183" s="26">
        <v>40000</v>
      </c>
      <c r="D183" s="10"/>
      <c r="E183" s="27"/>
      <c r="F183" s="28"/>
      <c r="G183" s="28">
        <f>+C183</f>
        <v>40000</v>
      </c>
      <c r="H183" s="29">
        <f>SUM(F183+G183)</f>
        <v>40000</v>
      </c>
      <c r="I183" s="10"/>
      <c r="J183" s="30">
        <f>+H183</f>
        <v>40000</v>
      </c>
      <c r="K183" s="28"/>
      <c r="L183" s="29"/>
    </row>
    <row r="184" spans="1:12" x14ac:dyDescent="0.2">
      <c r="B184" s="2"/>
      <c r="C184" s="26"/>
      <c r="D184" s="10"/>
      <c r="E184" s="27"/>
      <c r="F184" s="28"/>
      <c r="G184" s="28"/>
      <c r="H184" s="29"/>
      <c r="I184" s="10"/>
      <c r="J184" s="30"/>
      <c r="K184" s="28"/>
      <c r="L184" s="29"/>
    </row>
    <row r="185" spans="1:12" ht="30" x14ac:dyDescent="0.2">
      <c r="A185" s="55">
        <v>11</v>
      </c>
      <c r="B185" s="2" t="s">
        <v>53</v>
      </c>
      <c r="C185" s="26"/>
      <c r="D185" s="10"/>
      <c r="E185" s="27"/>
      <c r="F185" s="28"/>
      <c r="G185" s="28">
        <f>ROUND((F167+F169+F171+F173+F175+F187+F191+F193+F195+F198+F200+F202+F204)*0.15,0)</f>
        <v>112561</v>
      </c>
      <c r="H185" s="60">
        <f>SUM(F185+G185)</f>
        <v>112561</v>
      </c>
      <c r="I185" s="10"/>
      <c r="J185" s="30">
        <f>ROUND((SUM(F167:F175)*0.15),0)</f>
        <v>28103</v>
      </c>
      <c r="K185" s="32">
        <f>ROUND(SUM(F187:F202)*0.15,0)</f>
        <v>68274</v>
      </c>
      <c r="L185" s="33">
        <f>ROUND(F204*0.15,0)</f>
        <v>16185</v>
      </c>
    </row>
    <row r="186" spans="1:12" x14ac:dyDescent="0.2">
      <c r="B186" s="2"/>
      <c r="C186" s="26"/>
      <c r="D186" s="10"/>
      <c r="E186" s="27"/>
      <c r="F186" s="28"/>
      <c r="G186" s="28"/>
      <c r="H186" s="29"/>
      <c r="I186" s="10"/>
      <c r="J186" s="30"/>
      <c r="K186" s="32"/>
      <c r="L186" s="33"/>
    </row>
    <row r="187" spans="1:12" x14ac:dyDescent="0.2">
      <c r="A187" s="55">
        <v>12</v>
      </c>
      <c r="B187" s="2" t="s">
        <v>54</v>
      </c>
      <c r="C187" s="26"/>
      <c r="D187" s="10"/>
      <c r="E187" s="27"/>
      <c r="F187" s="28">
        <f>(F167+F169+F171+F173+F175+F191+F193+F195+F198+F200+F202+F204)*0.2045</f>
        <v>127404.52249999999</v>
      </c>
      <c r="G187" s="28"/>
      <c r="H187" s="29">
        <f>(+H167+H169+H171+H173+H175+H191+H193+H195+H198+H200+H202+H204)*0.2045</f>
        <v>127404.52249999999</v>
      </c>
      <c r="I187" s="10"/>
      <c r="J187" s="30">
        <f>ROUND((SUM(F167:F175)*0.2045),0)</f>
        <v>38313</v>
      </c>
      <c r="K187" s="32">
        <f>ROUND((SUM(F191:F202)*0.2045),0)</f>
        <v>67026</v>
      </c>
      <c r="L187" s="33">
        <f>ROUND(F204*0.2045,0)</f>
        <v>22066</v>
      </c>
    </row>
    <row r="188" spans="1:12" x14ac:dyDescent="0.2">
      <c r="B188" s="2"/>
      <c r="C188" s="26"/>
      <c r="D188" s="10"/>
      <c r="E188" s="27"/>
      <c r="F188" s="28"/>
      <c r="G188" s="28"/>
      <c r="H188" s="29"/>
      <c r="I188" s="10"/>
      <c r="J188" s="30"/>
      <c r="K188" s="32"/>
      <c r="L188" s="33"/>
    </row>
    <row r="189" spans="1:12" x14ac:dyDescent="0.2">
      <c r="A189" s="55">
        <v>13</v>
      </c>
      <c r="B189" s="2" t="s">
        <v>55</v>
      </c>
      <c r="C189" s="26">
        <v>2000</v>
      </c>
      <c r="D189" s="10"/>
      <c r="E189" s="27"/>
      <c r="F189" s="28"/>
      <c r="G189" s="28">
        <f>E212*2000</f>
        <v>22000</v>
      </c>
      <c r="H189" s="29">
        <f>SUM(F189:G189)</f>
        <v>22000</v>
      </c>
      <c r="I189" s="10"/>
      <c r="J189" s="30">
        <f>(E167+E169+E171+E173+E175)*2000</f>
        <v>6000</v>
      </c>
      <c r="K189" s="32">
        <f>ROUND(SUM(E193:E202)*2000,0)</f>
        <v>12000</v>
      </c>
      <c r="L189" s="33">
        <f>ROUND(E204*2000,0)</f>
        <v>4000</v>
      </c>
    </row>
    <row r="190" spans="1:12" x14ac:dyDescent="0.2">
      <c r="B190" s="2"/>
      <c r="C190" s="26"/>
      <c r="D190" s="10"/>
      <c r="E190" s="27"/>
      <c r="F190" s="28"/>
      <c r="G190" s="28"/>
      <c r="H190" s="29"/>
      <c r="I190" s="10"/>
      <c r="J190" s="30"/>
      <c r="K190" s="32"/>
      <c r="L190" s="33"/>
    </row>
    <row r="191" spans="1:12" ht="30" x14ac:dyDescent="0.2">
      <c r="A191" s="55">
        <v>14</v>
      </c>
      <c r="B191" s="2" t="s">
        <v>56</v>
      </c>
      <c r="C191" s="26"/>
      <c r="D191" s="10"/>
      <c r="E191" s="27"/>
      <c r="F191" s="28">
        <f>(F198+F202+F204+F193)*0.05</f>
        <v>16455</v>
      </c>
      <c r="G191" s="28"/>
      <c r="H191" s="29">
        <f>SUM(F191:G191)</f>
        <v>16455</v>
      </c>
      <c r="I191" s="10"/>
      <c r="J191" s="30"/>
      <c r="K191" s="32">
        <f>ROUND((+F193+F198+F202)*0.05,0)</f>
        <v>11060</v>
      </c>
      <c r="L191" s="33">
        <f>ROUND(F204*0.05,0)</f>
        <v>5395</v>
      </c>
    </row>
    <row r="192" spans="1:12" x14ac:dyDescent="0.2">
      <c r="B192" s="2"/>
      <c r="C192" s="26"/>
      <c r="D192" s="10"/>
      <c r="E192" s="27"/>
      <c r="F192" s="28"/>
      <c r="G192" s="28"/>
      <c r="H192" s="29"/>
      <c r="I192" s="10"/>
      <c r="J192" s="30"/>
      <c r="K192" s="28"/>
      <c r="L192" s="29"/>
    </row>
    <row r="193" spans="1:12" x14ac:dyDescent="0.2">
      <c r="A193" s="55">
        <v>15</v>
      </c>
      <c r="B193" s="2" t="s">
        <v>57</v>
      </c>
      <c r="C193" s="26">
        <f>+F159</f>
        <v>59350</v>
      </c>
      <c r="D193" s="10"/>
      <c r="E193" s="27">
        <f>ROUND((E204+E202+E200+E198+E195)/6,0)</f>
        <v>1</v>
      </c>
      <c r="F193" s="28">
        <f>F159*E193</f>
        <v>59350</v>
      </c>
      <c r="G193" s="28"/>
      <c r="H193" s="29">
        <f>SUM(F193:G193)</f>
        <v>59350</v>
      </c>
      <c r="I193" s="10"/>
      <c r="J193" s="27"/>
      <c r="K193" s="32">
        <f>ROUND(F193*((+E$49+E$51+E$53)/(E$49+E$51+E$53+E$55)),0)</f>
        <v>37386</v>
      </c>
      <c r="L193" s="33">
        <f>ROUND((+F193*(E$55/(+E$49+E$51+E$53+E$55))),0)</f>
        <v>21964</v>
      </c>
    </row>
    <row r="194" spans="1:12" x14ac:dyDescent="0.2">
      <c r="B194" s="2"/>
      <c r="C194" s="26"/>
      <c r="D194" s="10"/>
      <c r="E194" s="27"/>
      <c r="F194" s="28"/>
      <c r="G194" s="28"/>
      <c r="H194" s="29"/>
      <c r="I194" s="10"/>
      <c r="J194" s="30"/>
      <c r="K194" s="28"/>
      <c r="L194" s="29"/>
    </row>
    <row r="195" spans="1:12" x14ac:dyDescent="0.2">
      <c r="A195" s="55">
        <v>16</v>
      </c>
      <c r="B195" s="2" t="s">
        <v>58</v>
      </c>
      <c r="C195" s="26">
        <f>+F160</f>
        <v>36150</v>
      </c>
      <c r="D195" s="10"/>
      <c r="E195" s="27">
        <f>ROUND((E204+E202+E200+E198)/5,0)</f>
        <v>1</v>
      </c>
      <c r="F195" s="28">
        <f>F160*E195</f>
        <v>36150</v>
      </c>
      <c r="G195" s="28"/>
      <c r="H195" s="29">
        <f>SUM(F195:G195)</f>
        <v>36150</v>
      </c>
      <c r="I195" s="10"/>
      <c r="J195" s="30"/>
      <c r="K195" s="32">
        <f>ROUND(F195*((+E$49+E$51+E$53)/(E$49+E$51+E$53+E$55)),0)</f>
        <v>22772</v>
      </c>
      <c r="L195" s="33">
        <f>ROUND((+F195*(E$55/(+E$49+E$51+E$53+E$55))),0)</f>
        <v>13378</v>
      </c>
    </row>
    <row r="196" spans="1:12" x14ac:dyDescent="0.2">
      <c r="B196" s="2"/>
      <c r="C196" s="26"/>
      <c r="D196" s="10"/>
      <c r="E196" s="27"/>
      <c r="F196" s="28"/>
      <c r="G196" s="28"/>
      <c r="H196" s="29"/>
      <c r="I196" s="10"/>
      <c r="J196" s="30"/>
      <c r="K196" s="28"/>
      <c r="L196" s="29"/>
    </row>
    <row r="197" spans="1:12" ht="15.75" x14ac:dyDescent="0.25">
      <c r="A197" s="18" t="s">
        <v>59</v>
      </c>
      <c r="B197" s="2"/>
      <c r="C197" s="26"/>
      <c r="D197" s="10"/>
      <c r="E197" s="27"/>
      <c r="F197" s="28"/>
      <c r="G197" s="28"/>
      <c r="H197" s="29"/>
      <c r="I197" s="10"/>
      <c r="J197" s="30"/>
      <c r="K197" s="28"/>
      <c r="L197" s="29"/>
    </row>
    <row r="198" spans="1:12" x14ac:dyDescent="0.2">
      <c r="A198" s="36">
        <v>17</v>
      </c>
      <c r="B198" s="37" t="s">
        <v>60</v>
      </c>
      <c r="C198" s="38">
        <f>+F158</f>
        <v>53950</v>
      </c>
      <c r="D198" s="39"/>
      <c r="E198" s="40">
        <f>ROUND(C154/30,0)</f>
        <v>1</v>
      </c>
      <c r="F198" s="41">
        <f>F158*E198</f>
        <v>53950</v>
      </c>
      <c r="G198" s="41"/>
      <c r="H198" s="35">
        <f>SUM(F198:G198)</f>
        <v>53950</v>
      </c>
      <c r="I198" s="39"/>
      <c r="J198" s="42"/>
      <c r="K198" s="28">
        <f>F158*E198</f>
        <v>53950</v>
      </c>
      <c r="L198" s="29"/>
    </row>
    <row r="199" spans="1:12" x14ac:dyDescent="0.2">
      <c r="A199" s="37"/>
      <c r="B199" s="37"/>
      <c r="C199" s="26"/>
      <c r="D199" s="10"/>
      <c r="E199" s="27"/>
      <c r="F199" s="28"/>
      <c r="G199" s="28"/>
      <c r="H199" s="29"/>
      <c r="I199" s="10"/>
      <c r="J199" s="30"/>
      <c r="K199" s="28"/>
      <c r="L199" s="29"/>
    </row>
    <row r="200" spans="1:12" ht="30" x14ac:dyDescent="0.2">
      <c r="A200" s="36">
        <v>18</v>
      </c>
      <c r="B200" s="37" t="s">
        <v>61</v>
      </c>
      <c r="C200" s="26">
        <f>+F158</f>
        <v>53950</v>
      </c>
      <c r="D200" s="10"/>
      <c r="E200" s="27">
        <v>1</v>
      </c>
      <c r="F200" s="28">
        <f>F158*E200</f>
        <v>53950</v>
      </c>
      <c r="G200" s="28"/>
      <c r="H200" s="29">
        <f>SUM(F200:G200)</f>
        <v>53950</v>
      </c>
      <c r="I200" s="10"/>
      <c r="J200" s="30" t="s">
        <v>62</v>
      </c>
      <c r="K200" s="28">
        <f>ROUND(E200*F158,0)</f>
        <v>53950</v>
      </c>
      <c r="L200" s="29"/>
    </row>
    <row r="201" spans="1:12" x14ac:dyDescent="0.2">
      <c r="A201" s="37"/>
      <c r="B201" s="37"/>
      <c r="C201" s="26"/>
      <c r="D201" s="10"/>
      <c r="E201" s="27"/>
      <c r="F201" s="28"/>
      <c r="G201" s="28"/>
      <c r="H201" s="29"/>
      <c r="I201" s="10"/>
      <c r="J201" s="30"/>
      <c r="K201" s="28"/>
      <c r="L201" s="29"/>
    </row>
    <row r="202" spans="1:12" x14ac:dyDescent="0.2">
      <c r="A202" s="37">
        <v>19</v>
      </c>
      <c r="B202" s="37" t="s">
        <v>63</v>
      </c>
      <c r="C202" s="26">
        <f>+F158</f>
        <v>53950</v>
      </c>
      <c r="D202" s="10"/>
      <c r="E202" s="27">
        <f>ROUND(C154/20,0)</f>
        <v>2</v>
      </c>
      <c r="F202" s="28">
        <f>F158*E202</f>
        <v>107900</v>
      </c>
      <c r="G202" s="28"/>
      <c r="H202" s="29">
        <f>SUM(F202:G202)</f>
        <v>107900</v>
      </c>
      <c r="I202" s="10"/>
      <c r="J202" s="30"/>
      <c r="K202" s="28">
        <f>F158*E202</f>
        <v>107900</v>
      </c>
      <c r="L202" s="29"/>
    </row>
    <row r="203" spans="1:12" x14ac:dyDescent="0.2">
      <c r="A203" s="37"/>
      <c r="B203" s="37"/>
      <c r="C203" s="26"/>
      <c r="D203" s="10"/>
      <c r="E203" s="27"/>
      <c r="F203" s="28"/>
      <c r="G203" s="28"/>
      <c r="H203" s="29"/>
      <c r="I203" s="10"/>
      <c r="J203" s="30"/>
      <c r="K203" s="28"/>
      <c r="L203" s="29"/>
    </row>
    <row r="204" spans="1:12" x14ac:dyDescent="0.2">
      <c r="A204" s="37">
        <v>20</v>
      </c>
      <c r="B204" s="37" t="s">
        <v>64</v>
      </c>
      <c r="C204" s="26">
        <f>+F158</f>
        <v>53950</v>
      </c>
      <c r="D204" s="10"/>
      <c r="E204" s="27">
        <f>ROUND(C155/20,0)</f>
        <v>2</v>
      </c>
      <c r="F204" s="28">
        <f>F158*E204</f>
        <v>107900</v>
      </c>
      <c r="G204" s="28"/>
      <c r="H204" s="29">
        <f>SUM(F204:G204)</f>
        <v>107900</v>
      </c>
      <c r="I204" s="10"/>
      <c r="J204" s="30"/>
      <c r="K204" s="28"/>
      <c r="L204" s="29">
        <f>F158*E204</f>
        <v>107900</v>
      </c>
    </row>
    <row r="205" spans="1:12" x14ac:dyDescent="0.2">
      <c r="A205" s="37"/>
      <c r="B205" s="37"/>
      <c r="C205" s="26"/>
      <c r="D205" s="10"/>
      <c r="E205" s="27"/>
      <c r="F205" s="28"/>
      <c r="G205" s="28"/>
      <c r="H205" s="29"/>
      <c r="I205" s="10"/>
      <c r="J205" s="30"/>
      <c r="K205" s="28"/>
      <c r="L205" s="29"/>
    </row>
    <row r="206" spans="1:12" x14ac:dyDescent="0.2">
      <c r="A206" s="37">
        <v>21</v>
      </c>
      <c r="B206" s="37" t="s">
        <v>65</v>
      </c>
      <c r="C206" s="31"/>
      <c r="D206" s="43"/>
      <c r="E206" s="27"/>
      <c r="F206" s="28"/>
      <c r="G206" s="28">
        <f>ROUND(125*C153,0)</f>
        <v>85250</v>
      </c>
      <c r="H206" s="29">
        <f>SUM(F206:G206)</f>
        <v>85250</v>
      </c>
      <c r="I206" s="10"/>
      <c r="J206" s="30" t="s">
        <v>62</v>
      </c>
      <c r="K206" s="29">
        <f>ROUND(125/2*C153,0)</f>
        <v>42625</v>
      </c>
      <c r="L206" s="29">
        <f>ROUND(125/2*C153,0)</f>
        <v>42625</v>
      </c>
    </row>
    <row r="207" spans="1:12" x14ac:dyDescent="0.2">
      <c r="A207" s="37"/>
      <c r="B207" s="37"/>
      <c r="C207" s="26"/>
      <c r="D207" s="10"/>
      <c r="E207" s="27"/>
      <c r="F207" s="28"/>
      <c r="G207" s="28"/>
      <c r="H207" s="29"/>
      <c r="I207" s="10"/>
      <c r="J207" s="30"/>
      <c r="K207" s="28"/>
      <c r="L207" s="29"/>
    </row>
    <row r="208" spans="1:12" x14ac:dyDescent="0.2">
      <c r="A208" s="37">
        <v>22</v>
      </c>
      <c r="B208" s="37" t="s">
        <v>66</v>
      </c>
      <c r="C208" s="26">
        <v>10000</v>
      </c>
      <c r="D208" s="10"/>
      <c r="E208" s="27"/>
      <c r="F208" s="28"/>
      <c r="G208" s="28">
        <f>(E167+E193+E198+E200+E202+E204)*10000</f>
        <v>80000</v>
      </c>
      <c r="H208" s="29">
        <f>SUM(F208:G208)</f>
        <v>80000</v>
      </c>
      <c r="I208" s="10"/>
      <c r="J208" s="30">
        <f>ROUND(10000*E167,0)</f>
        <v>10000</v>
      </c>
      <c r="K208" s="32">
        <f>ROUND(10000*(+E202+E200+E198+E193),0)</f>
        <v>50000</v>
      </c>
      <c r="L208" s="33">
        <f>ROUND(10000*E204,0)</f>
        <v>20000</v>
      </c>
    </row>
    <row r="209" spans="1:12" x14ac:dyDescent="0.2">
      <c r="A209" s="37"/>
      <c r="B209" s="37"/>
      <c r="C209" s="26"/>
      <c r="D209" s="10"/>
      <c r="E209" s="27"/>
      <c r="F209" s="28"/>
      <c r="G209" s="28"/>
      <c r="H209" s="29"/>
      <c r="I209" s="10"/>
      <c r="J209" s="30"/>
      <c r="K209" s="32"/>
      <c r="L209" s="33"/>
    </row>
    <row r="210" spans="1:12" x14ac:dyDescent="0.2">
      <c r="A210" s="37">
        <v>23</v>
      </c>
      <c r="B210" s="37" t="s">
        <v>82</v>
      </c>
      <c r="C210" s="26"/>
      <c r="D210" s="10"/>
      <c r="E210" s="27"/>
      <c r="F210" s="28"/>
      <c r="G210" s="28">
        <v>15000</v>
      </c>
      <c r="H210" s="29">
        <f>+G210</f>
        <v>15000</v>
      </c>
      <c r="I210" s="10"/>
      <c r="J210" s="30"/>
      <c r="K210" s="32"/>
      <c r="L210" s="33">
        <f>+H210</f>
        <v>15000</v>
      </c>
    </row>
    <row r="211" spans="1:12" x14ac:dyDescent="0.2">
      <c r="B211" s="2"/>
      <c r="C211" s="26"/>
      <c r="D211" s="10"/>
      <c r="E211" s="27"/>
      <c r="F211" s="28"/>
      <c r="G211" s="28"/>
      <c r="H211" s="29"/>
      <c r="I211" s="10"/>
      <c r="J211" s="30"/>
      <c r="K211" s="28"/>
      <c r="L211" s="29"/>
    </row>
    <row r="212" spans="1:12" ht="15.75" x14ac:dyDescent="0.25">
      <c r="B212" s="3" t="s">
        <v>67</v>
      </c>
      <c r="C212" s="44"/>
      <c r="D212" s="10"/>
      <c r="E212" s="45">
        <f>SUM(E165:E208)</f>
        <v>11</v>
      </c>
      <c r="F212" s="46">
        <f>SUM(F165:F210)</f>
        <v>750409.52249999996</v>
      </c>
      <c r="G212" s="46">
        <f>SUM(G165:G210)</f>
        <v>447811</v>
      </c>
      <c r="H212" s="47">
        <f>SUM(H165:H211)</f>
        <v>1198220.5225</v>
      </c>
      <c r="I212" s="10"/>
      <c r="J212" s="48">
        <f>SUM(J165:J210)</f>
        <v>402766</v>
      </c>
      <c r="K212" s="46">
        <f>SUM(K165:K211)</f>
        <v>526943</v>
      </c>
      <c r="L212" s="47">
        <f>SUM(L165:L211)</f>
        <v>268513</v>
      </c>
    </row>
    <row r="213" spans="1:12" x14ac:dyDescent="0.2">
      <c r="B213" s="49"/>
      <c r="J213" s="50"/>
      <c r="L213" s="50"/>
    </row>
    <row r="214" spans="1:12" x14ac:dyDescent="0.2">
      <c r="B214" s="49"/>
      <c r="J214" s="50"/>
      <c r="L214" s="50"/>
    </row>
    <row r="215" spans="1:12" x14ac:dyDescent="0.2">
      <c r="A215" s="37">
        <v>24</v>
      </c>
      <c r="B215" s="55" t="s">
        <v>68</v>
      </c>
      <c r="C215" s="8"/>
      <c r="D215" s="8"/>
      <c r="E215" s="11"/>
      <c r="L215" s="10">
        <f>+J212+K212+L212</f>
        <v>1198222</v>
      </c>
    </row>
    <row r="216" spans="1:12" x14ac:dyDescent="0.2">
      <c r="A216" s="37">
        <v>25</v>
      </c>
      <c r="B216" s="55" t="s">
        <v>69</v>
      </c>
      <c r="C216" s="7"/>
      <c r="D216" s="7"/>
      <c r="E216" s="11"/>
      <c r="L216" s="10">
        <v>641948</v>
      </c>
    </row>
    <row r="217" spans="1:12" ht="15.75" x14ac:dyDescent="0.25">
      <c r="A217" s="37">
        <v>26</v>
      </c>
      <c r="B217" s="55" t="s">
        <v>182</v>
      </c>
      <c r="C217" s="7"/>
      <c r="D217" s="7"/>
      <c r="E217" s="11"/>
      <c r="J217" s="10" t="s">
        <v>62</v>
      </c>
      <c r="L217" s="51">
        <f>+L215-L216</f>
        <v>556274</v>
      </c>
    </row>
    <row r="218" spans="1:12" x14ac:dyDescent="0.2">
      <c r="B218" s="8"/>
      <c r="C218" s="7"/>
      <c r="D218" s="7"/>
      <c r="E218" s="11"/>
      <c r="J218" s="10"/>
      <c r="L218" s="10"/>
    </row>
    <row r="219" spans="1:12" ht="78.75" x14ac:dyDescent="0.25">
      <c r="B219" s="8"/>
      <c r="C219" s="7"/>
      <c r="D219" s="7"/>
      <c r="E219" s="11"/>
      <c r="J219" s="51" t="s">
        <v>71</v>
      </c>
      <c r="K219" s="52" t="s">
        <v>72</v>
      </c>
      <c r="L219" s="53" t="s">
        <v>73</v>
      </c>
    </row>
    <row r="220" spans="1:12" ht="15.75" x14ac:dyDescent="0.25">
      <c r="B220" s="8" t="s">
        <v>74</v>
      </c>
      <c r="C220" s="7"/>
      <c r="D220" s="7"/>
      <c r="E220" s="11"/>
      <c r="J220" s="10">
        <f>+J212+K212</f>
        <v>929709</v>
      </c>
      <c r="K220" s="10">
        <f>+L216</f>
        <v>641948</v>
      </c>
      <c r="L220" s="51">
        <f>+J220-K220</f>
        <v>287761</v>
      </c>
    </row>
    <row r="221" spans="1:12" ht="15.75" x14ac:dyDescent="0.25">
      <c r="B221" s="54" t="s">
        <v>75</v>
      </c>
      <c r="C221" s="7"/>
      <c r="D221" s="7"/>
      <c r="E221" s="11"/>
      <c r="J221" s="10">
        <f>+L212</f>
        <v>268513</v>
      </c>
      <c r="K221" s="10" t="s">
        <v>62</v>
      </c>
      <c r="L221" s="51">
        <f>+J221</f>
        <v>268513</v>
      </c>
    </row>
    <row r="224" spans="1:12" x14ac:dyDescent="0.2">
      <c r="A224" s="1" t="s">
        <v>23</v>
      </c>
      <c r="B224" s="2"/>
    </row>
    <row r="225" spans="1:12" ht="15.75" x14ac:dyDescent="0.25">
      <c r="A225" s="56" t="s">
        <v>24</v>
      </c>
      <c r="B225" s="3"/>
      <c r="C225" s="56" t="s">
        <v>183</v>
      </c>
    </row>
    <row r="226" spans="1:12" x14ac:dyDescent="0.2">
      <c r="A226" s="55" t="s">
        <v>26</v>
      </c>
      <c r="B226" s="2"/>
    </row>
    <row r="227" spans="1:12" x14ac:dyDescent="0.2">
      <c r="B227" s="2"/>
      <c r="C227" s="4"/>
      <c r="D227" s="4"/>
    </row>
    <row r="228" spans="1:12" x14ac:dyDescent="0.2">
      <c r="B228" s="2"/>
      <c r="C228" s="5"/>
      <c r="D228" s="5"/>
    </row>
    <row r="229" spans="1:12" ht="15.75" x14ac:dyDescent="0.25">
      <c r="A229" s="55" t="s">
        <v>27</v>
      </c>
      <c r="B229" s="2"/>
      <c r="C229" s="6">
        <v>1572</v>
      </c>
      <c r="D229" s="4"/>
      <c r="E229" s="7"/>
    </row>
    <row r="230" spans="1:12" ht="15.75" x14ac:dyDescent="0.25">
      <c r="A230" s="55" t="s">
        <v>28</v>
      </c>
      <c r="B230" s="2"/>
      <c r="C230" s="6">
        <f>C229*0.06</f>
        <v>94.32</v>
      </c>
      <c r="D230" s="4"/>
      <c r="E230" s="7"/>
    </row>
    <row r="231" spans="1:12" ht="15.75" x14ac:dyDescent="0.25">
      <c r="A231" s="55" t="s">
        <v>29</v>
      </c>
      <c r="B231" s="2"/>
      <c r="C231" s="6">
        <f>C229/3*0.2</f>
        <v>104.80000000000001</v>
      </c>
      <c r="D231" s="6"/>
      <c r="E231" s="7"/>
    </row>
    <row r="232" spans="1:12" ht="15.75" x14ac:dyDescent="0.25">
      <c r="B232" s="2" t="s">
        <v>30</v>
      </c>
      <c r="C232" s="6"/>
      <c r="D232" s="4"/>
      <c r="E232" s="7"/>
    </row>
    <row r="233" spans="1:12" x14ac:dyDescent="0.2">
      <c r="B233" s="2"/>
    </row>
    <row r="234" spans="1:12" x14ac:dyDescent="0.2">
      <c r="A234" s="7" t="s">
        <v>31</v>
      </c>
      <c r="B234" s="8"/>
      <c r="D234" s="9"/>
      <c r="F234" s="9">
        <v>53950</v>
      </c>
      <c r="H234" s="10"/>
      <c r="I234" s="10"/>
    </row>
    <row r="235" spans="1:12" x14ac:dyDescent="0.2">
      <c r="A235" s="7" t="s">
        <v>32</v>
      </c>
      <c r="B235" s="8"/>
      <c r="D235" s="9"/>
      <c r="F235" s="9">
        <v>59350</v>
      </c>
      <c r="H235" s="10"/>
      <c r="I235" s="10"/>
    </row>
    <row r="236" spans="1:12" x14ac:dyDescent="0.2">
      <c r="A236" s="7" t="s">
        <v>33</v>
      </c>
      <c r="B236" s="8"/>
      <c r="D236" s="9"/>
      <c r="F236" s="9">
        <v>36150</v>
      </c>
      <c r="H236" s="10"/>
      <c r="I236" s="10"/>
    </row>
    <row r="237" spans="1:12" x14ac:dyDescent="0.2">
      <c r="A237" s="7"/>
      <c r="B237" s="8"/>
      <c r="C237" s="11"/>
      <c r="D237" s="11"/>
      <c r="H237" s="10"/>
      <c r="I237" s="10"/>
    </row>
    <row r="238" spans="1:12" ht="15.75" x14ac:dyDescent="0.25">
      <c r="B238" s="2"/>
      <c r="J238" s="12" t="s">
        <v>34</v>
      </c>
      <c r="K238" s="412" t="s">
        <v>35</v>
      </c>
      <c r="L238" s="413"/>
    </row>
    <row r="239" spans="1:12" ht="31.5" x14ac:dyDescent="0.25">
      <c r="A239" s="56" t="s">
        <v>36</v>
      </c>
      <c r="B239" s="13"/>
      <c r="C239" s="14" t="s">
        <v>37</v>
      </c>
      <c r="D239" s="15"/>
      <c r="E239" s="12" t="s">
        <v>38</v>
      </c>
      <c r="F239" s="12" t="s">
        <v>39</v>
      </c>
      <c r="G239" s="12" t="s">
        <v>40</v>
      </c>
      <c r="H239" s="12" t="s">
        <v>0</v>
      </c>
      <c r="I239" s="16"/>
      <c r="J239" s="14" t="s">
        <v>41</v>
      </c>
      <c r="K239" s="17" t="s">
        <v>42</v>
      </c>
      <c r="L239" s="12" t="s">
        <v>43</v>
      </c>
    </row>
    <row r="240" spans="1:12" ht="15.75" x14ac:dyDescent="0.25">
      <c r="A240" s="18"/>
      <c r="B240" s="13"/>
      <c r="C240" s="19"/>
      <c r="D240" s="15"/>
      <c r="E240" s="20"/>
      <c r="F240" s="21"/>
      <c r="G240" s="21"/>
      <c r="H240" s="22"/>
      <c r="I240" s="16"/>
      <c r="J240" s="23"/>
      <c r="K240" s="24"/>
      <c r="L240" s="25"/>
    </row>
    <row r="241" spans="1:12" x14ac:dyDescent="0.2">
      <c r="A241" s="55">
        <v>1</v>
      </c>
      <c r="B241" s="2" t="s">
        <v>44</v>
      </c>
      <c r="C241" s="26">
        <v>50000</v>
      </c>
      <c r="D241" s="10"/>
      <c r="E241" s="27"/>
      <c r="F241" s="28"/>
      <c r="G241" s="28">
        <f>+C241</f>
        <v>50000</v>
      </c>
      <c r="H241" s="29">
        <f>SUM(F241+G241)</f>
        <v>50000</v>
      </c>
      <c r="I241" s="10"/>
      <c r="J241" s="30">
        <f>+H241</f>
        <v>50000</v>
      </c>
      <c r="K241" s="28"/>
      <c r="L241" s="29"/>
    </row>
    <row r="242" spans="1:12" x14ac:dyDescent="0.2">
      <c r="B242" s="2"/>
      <c r="C242" s="26"/>
      <c r="D242" s="10"/>
      <c r="E242" s="27"/>
      <c r="F242" s="28"/>
      <c r="G242" s="28"/>
      <c r="H242" s="29"/>
      <c r="I242" s="10"/>
      <c r="J242" s="30"/>
      <c r="K242" s="28"/>
      <c r="L242" s="29"/>
    </row>
    <row r="243" spans="1:12" x14ac:dyDescent="0.2">
      <c r="A243" s="55">
        <v>2</v>
      </c>
      <c r="B243" s="2" t="s">
        <v>45</v>
      </c>
      <c r="C243" s="26">
        <v>77000</v>
      </c>
      <c r="D243" s="10"/>
      <c r="E243" s="27">
        <v>1</v>
      </c>
      <c r="F243" s="28">
        <f>+C243*E243</f>
        <v>77000</v>
      </c>
      <c r="G243" s="28"/>
      <c r="H243" s="29">
        <f>SUM(F243+G243)</f>
        <v>77000</v>
      </c>
      <c r="I243" s="10"/>
      <c r="J243" s="30">
        <f>+H243</f>
        <v>77000</v>
      </c>
      <c r="K243" s="28"/>
      <c r="L243" s="29"/>
    </row>
    <row r="244" spans="1:12" x14ac:dyDescent="0.2">
      <c r="B244" s="2"/>
      <c r="C244" s="26"/>
      <c r="D244" s="10"/>
      <c r="E244" s="27"/>
      <c r="F244" s="28"/>
      <c r="G244" s="28"/>
      <c r="H244" s="29"/>
      <c r="I244" s="10"/>
      <c r="J244" s="30"/>
      <c r="K244" s="28"/>
      <c r="L244" s="29"/>
    </row>
    <row r="245" spans="1:12" ht="30" x14ac:dyDescent="0.2">
      <c r="A245" s="55">
        <v>3</v>
      </c>
      <c r="B245" s="2" t="s">
        <v>81</v>
      </c>
      <c r="C245" s="26">
        <f>+F235</f>
        <v>59350</v>
      </c>
      <c r="D245" s="10"/>
      <c r="E245" s="27">
        <v>1</v>
      </c>
      <c r="F245" s="28">
        <f>+C245*E245</f>
        <v>59350</v>
      </c>
      <c r="G245" s="28"/>
      <c r="H245" s="29">
        <f>SUM(F245+G245)</f>
        <v>59350</v>
      </c>
      <c r="I245" s="10"/>
      <c r="J245" s="30">
        <f>+H245</f>
        <v>59350</v>
      </c>
      <c r="K245" s="28"/>
      <c r="L245" s="29"/>
    </row>
    <row r="246" spans="1:12" x14ac:dyDescent="0.2">
      <c r="B246" s="2"/>
      <c r="C246" s="26"/>
      <c r="D246" s="10"/>
      <c r="E246" s="27"/>
      <c r="F246" s="28"/>
      <c r="G246" s="28"/>
      <c r="H246" s="29"/>
      <c r="I246" s="10"/>
      <c r="J246" s="30"/>
      <c r="K246" s="28"/>
      <c r="L246" s="29"/>
    </row>
    <row r="247" spans="1:12" x14ac:dyDescent="0.2">
      <c r="A247" s="55">
        <v>4</v>
      </c>
      <c r="B247" s="2" t="s">
        <v>46</v>
      </c>
      <c r="C247" s="26">
        <v>39300</v>
      </c>
      <c r="D247" s="10"/>
      <c r="E247" s="27">
        <v>1</v>
      </c>
      <c r="F247" s="28">
        <f>+C247*E247</f>
        <v>39300</v>
      </c>
      <c r="G247" s="28"/>
      <c r="H247" s="29">
        <f>SUM(F247+G247)</f>
        <v>39300</v>
      </c>
      <c r="I247" s="10"/>
      <c r="J247" s="30">
        <f>+H247</f>
        <v>39300</v>
      </c>
      <c r="K247" s="28"/>
      <c r="L247" s="29"/>
    </row>
    <row r="248" spans="1:12" x14ac:dyDescent="0.2">
      <c r="B248" s="2"/>
      <c r="C248" s="26"/>
      <c r="D248" s="10"/>
      <c r="E248" s="27"/>
      <c r="F248" s="28"/>
      <c r="G248" s="28"/>
      <c r="H248" s="29"/>
      <c r="I248" s="10"/>
      <c r="J248" s="30"/>
      <c r="K248" s="28"/>
      <c r="L248" s="29"/>
    </row>
    <row r="249" spans="1:12" x14ac:dyDescent="0.2">
      <c r="A249" s="55">
        <v>5</v>
      </c>
      <c r="B249" s="2" t="s">
        <v>47</v>
      </c>
      <c r="C249" s="26">
        <v>36000</v>
      </c>
      <c r="D249" s="10"/>
      <c r="E249" s="27">
        <v>1</v>
      </c>
      <c r="F249" s="28">
        <f>+C249*E249</f>
        <v>36000</v>
      </c>
      <c r="G249" s="28"/>
      <c r="H249" s="29">
        <f>SUM(F249+G249)</f>
        <v>36000</v>
      </c>
      <c r="I249" s="10"/>
      <c r="J249" s="30">
        <f>+H249</f>
        <v>36000</v>
      </c>
      <c r="K249" s="28"/>
      <c r="L249" s="29"/>
    </row>
    <row r="250" spans="1:12" x14ac:dyDescent="0.2">
      <c r="B250" s="2"/>
      <c r="C250" s="26"/>
      <c r="D250" s="10"/>
      <c r="E250" s="27"/>
      <c r="F250" s="28"/>
      <c r="G250" s="28"/>
      <c r="H250" s="29"/>
      <c r="I250" s="10"/>
      <c r="J250" s="30"/>
      <c r="K250" s="28"/>
      <c r="L250" s="29"/>
    </row>
    <row r="251" spans="1:12" x14ac:dyDescent="0.2">
      <c r="A251" s="55">
        <v>6</v>
      </c>
      <c r="B251" s="2" t="s">
        <v>48</v>
      </c>
      <c r="C251" s="26">
        <v>51000</v>
      </c>
      <c r="D251" s="10"/>
      <c r="E251" s="27">
        <v>1</v>
      </c>
      <c r="F251" s="28">
        <f>+C251*E251</f>
        <v>51000</v>
      </c>
      <c r="G251" s="28"/>
      <c r="H251" s="29">
        <f>SUM(F251+G251)</f>
        <v>51000</v>
      </c>
      <c r="I251" s="10"/>
      <c r="J251" s="30">
        <f>+H251</f>
        <v>51000</v>
      </c>
      <c r="K251" s="28"/>
      <c r="L251" s="29"/>
    </row>
    <row r="252" spans="1:12" x14ac:dyDescent="0.2">
      <c r="B252" s="2"/>
      <c r="C252" s="26"/>
      <c r="D252" s="10"/>
      <c r="E252" s="27"/>
      <c r="F252" s="28"/>
      <c r="G252" s="28"/>
      <c r="H252" s="29"/>
      <c r="I252" s="10"/>
      <c r="J252" s="30"/>
      <c r="K252" s="28"/>
      <c r="L252" s="29"/>
    </row>
    <row r="253" spans="1:12" x14ac:dyDescent="0.2">
      <c r="A253" s="55">
        <v>7</v>
      </c>
      <c r="B253" s="2" t="s">
        <v>49</v>
      </c>
      <c r="C253" s="31">
        <v>0</v>
      </c>
      <c r="D253" s="10"/>
      <c r="E253" s="27"/>
      <c r="F253" s="28"/>
      <c r="G253" s="32">
        <v>0</v>
      </c>
      <c r="H253" s="33">
        <v>0</v>
      </c>
      <c r="I253" s="10"/>
      <c r="J253" s="34">
        <f>+H253</f>
        <v>0</v>
      </c>
      <c r="K253" s="32">
        <v>0</v>
      </c>
      <c r="L253" s="33">
        <v>0</v>
      </c>
    </row>
    <row r="254" spans="1:12" x14ac:dyDescent="0.2">
      <c r="B254" s="2"/>
      <c r="C254" s="26"/>
      <c r="D254" s="10"/>
      <c r="E254" s="27"/>
      <c r="F254" s="28"/>
      <c r="G254" s="28"/>
      <c r="H254" s="29"/>
      <c r="I254" s="10"/>
      <c r="J254" s="30"/>
      <c r="K254" s="28"/>
      <c r="L254" s="29"/>
    </row>
    <row r="255" spans="1:12" x14ac:dyDescent="0.2">
      <c r="A255" s="55">
        <v>8</v>
      </c>
      <c r="B255" s="2" t="s">
        <v>50</v>
      </c>
      <c r="C255" s="26">
        <v>13000</v>
      </c>
      <c r="D255" s="10"/>
      <c r="E255" s="27"/>
      <c r="F255" s="28"/>
      <c r="G255" s="28">
        <f>+C255</f>
        <v>13000</v>
      </c>
      <c r="H255" s="29">
        <f>SUM(F255+G255)</f>
        <v>13000</v>
      </c>
      <c r="I255" s="10"/>
      <c r="J255" s="30">
        <f>+H255</f>
        <v>13000</v>
      </c>
      <c r="K255" s="28"/>
      <c r="L255" s="29"/>
    </row>
    <row r="256" spans="1:12" x14ac:dyDescent="0.2">
      <c r="B256" s="2"/>
      <c r="C256" s="26"/>
      <c r="D256" s="10"/>
      <c r="E256" s="27"/>
      <c r="F256" s="28"/>
      <c r="G256" s="28"/>
      <c r="H256" s="29"/>
      <c r="I256" s="10"/>
      <c r="J256" s="30"/>
      <c r="K256" s="28"/>
      <c r="L256" s="29"/>
    </row>
    <row r="257" spans="1:12" x14ac:dyDescent="0.2">
      <c r="A257" s="55">
        <v>9</v>
      </c>
      <c r="B257" s="2" t="s">
        <v>51</v>
      </c>
      <c r="C257" s="26">
        <v>30000</v>
      </c>
      <c r="D257" s="10"/>
      <c r="E257" s="27"/>
      <c r="F257" s="28"/>
      <c r="G257" s="28">
        <f>+C257</f>
        <v>30000</v>
      </c>
      <c r="H257" s="29">
        <f>SUM(F257+G257)</f>
        <v>30000</v>
      </c>
      <c r="I257" s="10"/>
      <c r="J257" s="30">
        <f>+H257</f>
        <v>30000</v>
      </c>
      <c r="K257" s="28"/>
      <c r="L257" s="29"/>
    </row>
    <row r="258" spans="1:12" x14ac:dyDescent="0.2">
      <c r="B258" s="2"/>
      <c r="C258" s="26"/>
      <c r="D258" s="10"/>
      <c r="E258" s="27"/>
      <c r="F258" s="28"/>
      <c r="G258" s="28"/>
      <c r="H258" s="29"/>
      <c r="I258" s="10"/>
      <c r="J258" s="30"/>
      <c r="K258" s="28"/>
      <c r="L258" s="29"/>
    </row>
    <row r="259" spans="1:12" x14ac:dyDescent="0.2">
      <c r="A259" s="55">
        <v>10</v>
      </c>
      <c r="B259" s="2" t="s">
        <v>52</v>
      </c>
      <c r="C259" s="26">
        <v>40000</v>
      </c>
      <c r="D259" s="10"/>
      <c r="E259" s="27"/>
      <c r="F259" s="28"/>
      <c r="G259" s="28">
        <f>+C259</f>
        <v>40000</v>
      </c>
      <c r="H259" s="29">
        <f>SUM(F259+G259)</f>
        <v>40000</v>
      </c>
      <c r="I259" s="10"/>
      <c r="J259" s="30">
        <f>+H259</f>
        <v>40000</v>
      </c>
      <c r="K259" s="28"/>
      <c r="L259" s="29"/>
    </row>
    <row r="260" spans="1:12" x14ac:dyDescent="0.2">
      <c r="B260" s="2"/>
      <c r="C260" s="26"/>
      <c r="D260" s="10"/>
      <c r="E260" s="27"/>
      <c r="F260" s="28"/>
      <c r="G260" s="28"/>
      <c r="H260" s="29"/>
      <c r="I260" s="10"/>
      <c r="J260" s="30"/>
      <c r="K260" s="28"/>
      <c r="L260" s="29"/>
    </row>
    <row r="261" spans="1:12" ht="30" x14ac:dyDescent="0.2">
      <c r="A261" s="55">
        <v>11</v>
      </c>
      <c r="B261" s="2" t="s">
        <v>53</v>
      </c>
      <c r="C261" s="26"/>
      <c r="D261" s="10"/>
      <c r="E261" s="27"/>
      <c r="F261" s="28"/>
      <c r="G261" s="28">
        <f>ROUND((F243+F245+F247+F249+F251+F263+F267+F269+F271+F274+F276+F278+F280)*0.15,0)</f>
        <v>243626</v>
      </c>
      <c r="H261" s="60">
        <f>SUM(F261+G261)</f>
        <v>243626</v>
      </c>
      <c r="I261" s="10"/>
      <c r="J261" s="30">
        <f>ROUND((SUM(F243:F251)*0.15),0)</f>
        <v>39398</v>
      </c>
      <c r="K261" s="32">
        <f>ROUND(SUM(F263:F278)*0.15,0)</f>
        <v>163766</v>
      </c>
      <c r="L261" s="33">
        <f>ROUND(F280*0.15,0)</f>
        <v>40463</v>
      </c>
    </row>
    <row r="262" spans="1:12" x14ac:dyDescent="0.2">
      <c r="B262" s="2"/>
      <c r="C262" s="26"/>
      <c r="D262" s="10"/>
      <c r="E262" s="27"/>
      <c r="F262" s="28"/>
      <c r="G262" s="28"/>
      <c r="H262" s="29"/>
      <c r="I262" s="10"/>
      <c r="J262" s="30"/>
      <c r="K262" s="32"/>
      <c r="L262" s="33"/>
    </row>
    <row r="263" spans="1:12" x14ac:dyDescent="0.2">
      <c r="A263" s="55">
        <v>12</v>
      </c>
      <c r="B263" s="2" t="s">
        <v>54</v>
      </c>
      <c r="C263" s="26"/>
      <c r="D263" s="10"/>
      <c r="E263" s="27"/>
      <c r="F263" s="28">
        <f>(F243+F245+F247+F249+F251+F267+F269+F271+F274+F276+F278+F280)*0.2045</f>
        <v>275751.88999999996</v>
      </c>
      <c r="G263" s="28"/>
      <c r="H263" s="29">
        <f>(+H243+H245+H247+H249+H251+H267+H269+H271+H274+H276+H278+H280)*0.2045</f>
        <v>275751.88999999996</v>
      </c>
      <c r="I263" s="10"/>
      <c r="J263" s="30">
        <f>ROUND((SUM(F243:F251)*0.2045),0)</f>
        <v>53712</v>
      </c>
      <c r="K263" s="32">
        <f>ROUND((SUM(F267:F278)*0.2045),0)</f>
        <v>166876</v>
      </c>
      <c r="L263" s="33">
        <f>ROUND(F280*0.2045,0)</f>
        <v>55164</v>
      </c>
    </row>
    <row r="264" spans="1:12" x14ac:dyDescent="0.2">
      <c r="B264" s="2"/>
      <c r="C264" s="26"/>
      <c r="D264" s="10"/>
      <c r="E264" s="27"/>
      <c r="F264" s="28"/>
      <c r="G264" s="28"/>
      <c r="H264" s="29"/>
      <c r="I264" s="10"/>
      <c r="J264" s="30"/>
      <c r="K264" s="32"/>
      <c r="L264" s="33"/>
    </row>
    <row r="265" spans="1:12" x14ac:dyDescent="0.2">
      <c r="A265" s="55">
        <v>13</v>
      </c>
      <c r="B265" s="2" t="s">
        <v>55</v>
      </c>
      <c r="C265" s="26">
        <v>2000</v>
      </c>
      <c r="D265" s="10"/>
      <c r="E265" s="27"/>
      <c r="F265" s="28"/>
      <c r="G265" s="28">
        <f>E288*2000</f>
        <v>50000</v>
      </c>
      <c r="H265" s="29">
        <f>SUM(F265:G265)</f>
        <v>50000</v>
      </c>
      <c r="I265" s="10"/>
      <c r="J265" s="30">
        <f>(E243+E245+E247+E249+E251)*2000</f>
        <v>10000</v>
      </c>
      <c r="K265" s="32">
        <f>ROUND(SUM(E269:E278)*2000,0)</f>
        <v>30000</v>
      </c>
      <c r="L265" s="33">
        <f>ROUND(E280*2000,0)</f>
        <v>10000</v>
      </c>
    </row>
    <row r="266" spans="1:12" x14ac:dyDescent="0.2">
      <c r="B266" s="2"/>
      <c r="C266" s="26"/>
      <c r="D266" s="10"/>
      <c r="E266" s="27"/>
      <c r="F266" s="28"/>
      <c r="G266" s="28"/>
      <c r="H266" s="29"/>
      <c r="I266" s="10"/>
      <c r="J266" s="30"/>
      <c r="K266" s="32"/>
      <c r="L266" s="33"/>
    </row>
    <row r="267" spans="1:12" ht="30" x14ac:dyDescent="0.2">
      <c r="A267" s="55">
        <v>14</v>
      </c>
      <c r="B267" s="2" t="s">
        <v>56</v>
      </c>
      <c r="C267" s="26"/>
      <c r="D267" s="10"/>
      <c r="E267" s="27"/>
      <c r="F267" s="28">
        <f>(F274+F278+F280+F269)*0.05</f>
        <v>43970</v>
      </c>
      <c r="G267" s="28"/>
      <c r="H267" s="29">
        <f>SUM(F267:G267)</f>
        <v>43970</v>
      </c>
      <c r="I267" s="10"/>
      <c r="J267" s="30"/>
      <c r="K267" s="32">
        <f>ROUND((+F269+F274+F278)*0.05,0)</f>
        <v>30483</v>
      </c>
      <c r="L267" s="33">
        <f>ROUND(F280*0.05,0)</f>
        <v>13488</v>
      </c>
    </row>
    <row r="268" spans="1:12" x14ac:dyDescent="0.2">
      <c r="B268" s="2"/>
      <c r="C268" s="26"/>
      <c r="D268" s="10"/>
      <c r="E268" s="27"/>
      <c r="F268" s="28"/>
      <c r="G268" s="28"/>
      <c r="H268" s="29"/>
      <c r="I268" s="10"/>
      <c r="J268" s="30"/>
      <c r="K268" s="28"/>
      <c r="L268" s="29"/>
    </row>
    <row r="269" spans="1:12" x14ac:dyDescent="0.2">
      <c r="A269" s="55">
        <v>15</v>
      </c>
      <c r="B269" s="2" t="s">
        <v>57</v>
      </c>
      <c r="C269" s="26">
        <f>+F235</f>
        <v>59350</v>
      </c>
      <c r="D269" s="10"/>
      <c r="E269" s="27">
        <f>ROUND((E280+E278+E276+E274+E271)/6,0)</f>
        <v>3</v>
      </c>
      <c r="F269" s="28">
        <f>F235*E269</f>
        <v>178050</v>
      </c>
      <c r="G269" s="28"/>
      <c r="H269" s="29">
        <f>SUM(F269:G269)</f>
        <v>178050</v>
      </c>
      <c r="I269" s="10"/>
      <c r="J269" s="27"/>
      <c r="K269" s="32">
        <f>ROUND(F269*((+E$49+E$51+E$53)/(E$49+E$51+E$53+E$55)),0)</f>
        <v>112157</v>
      </c>
      <c r="L269" s="33">
        <f>ROUND((+F269*(E$55/(+E$49+E$51+E$53+E$55))),0)</f>
        <v>65893</v>
      </c>
    </row>
    <row r="270" spans="1:12" x14ac:dyDescent="0.2">
      <c r="B270" s="2"/>
      <c r="C270" s="26"/>
      <c r="D270" s="10"/>
      <c r="E270" s="27"/>
      <c r="F270" s="28"/>
      <c r="G270" s="28"/>
      <c r="H270" s="29"/>
      <c r="I270" s="10"/>
      <c r="J270" s="30"/>
      <c r="K270" s="28"/>
      <c r="L270" s="29"/>
    </row>
    <row r="271" spans="1:12" x14ac:dyDescent="0.2">
      <c r="A271" s="55">
        <v>16</v>
      </c>
      <c r="B271" s="2" t="s">
        <v>58</v>
      </c>
      <c r="C271" s="26">
        <f>+F236</f>
        <v>36150</v>
      </c>
      <c r="D271" s="10"/>
      <c r="E271" s="27">
        <f>ROUND((E280+E278+E276+E274)/5,0)</f>
        <v>3</v>
      </c>
      <c r="F271" s="28">
        <f>F236*E271</f>
        <v>108450</v>
      </c>
      <c r="G271" s="28"/>
      <c r="H271" s="29">
        <f>SUM(F271:G271)</f>
        <v>108450</v>
      </c>
      <c r="I271" s="10"/>
      <c r="J271" s="30"/>
      <c r="K271" s="32">
        <f>ROUND(F271*((+E$49+E$51+E$53)/(E$49+E$51+E$53+E$55)),0)</f>
        <v>68315</v>
      </c>
      <c r="L271" s="33">
        <f>ROUND((+F271*(E$55/(+E$49+E$51+E$53+E$55))),0)</f>
        <v>40135</v>
      </c>
    </row>
    <row r="272" spans="1:12" x14ac:dyDescent="0.2">
      <c r="B272" s="2"/>
      <c r="C272" s="26"/>
      <c r="D272" s="10"/>
      <c r="E272" s="27"/>
      <c r="F272" s="28"/>
      <c r="G272" s="28"/>
      <c r="H272" s="29"/>
      <c r="I272" s="10"/>
      <c r="J272" s="30"/>
      <c r="K272" s="28"/>
      <c r="L272" s="29"/>
    </row>
    <row r="273" spans="1:12" ht="15.75" x14ac:dyDescent="0.25">
      <c r="A273" s="18" t="s">
        <v>59</v>
      </c>
      <c r="B273" s="2"/>
      <c r="C273" s="26"/>
      <c r="D273" s="10"/>
      <c r="E273" s="27"/>
      <c r="F273" s="28"/>
      <c r="G273" s="28"/>
      <c r="H273" s="29"/>
      <c r="I273" s="10"/>
      <c r="J273" s="30"/>
      <c r="K273" s="28"/>
      <c r="L273" s="29"/>
    </row>
    <row r="274" spans="1:12" x14ac:dyDescent="0.2">
      <c r="A274" s="36">
        <v>17</v>
      </c>
      <c r="B274" s="37" t="s">
        <v>60</v>
      </c>
      <c r="C274" s="38">
        <f>+F234</f>
        <v>53950</v>
      </c>
      <c r="D274" s="39"/>
      <c r="E274" s="40">
        <f>ROUND(C230/30,0)</f>
        <v>3</v>
      </c>
      <c r="F274" s="41">
        <f>F234*E274</f>
        <v>161850</v>
      </c>
      <c r="G274" s="41"/>
      <c r="H274" s="35">
        <f>SUM(F274:G274)</f>
        <v>161850</v>
      </c>
      <c r="I274" s="39"/>
      <c r="J274" s="42"/>
      <c r="K274" s="28">
        <f>F234*E274</f>
        <v>161850</v>
      </c>
      <c r="L274" s="29"/>
    </row>
    <row r="275" spans="1:12" x14ac:dyDescent="0.2">
      <c r="A275" s="37"/>
      <c r="B275" s="37"/>
      <c r="C275" s="26"/>
      <c r="D275" s="10"/>
      <c r="E275" s="27"/>
      <c r="F275" s="28"/>
      <c r="G275" s="28"/>
      <c r="H275" s="29"/>
      <c r="I275" s="10"/>
      <c r="J275" s="30"/>
      <c r="K275" s="28"/>
      <c r="L275" s="29"/>
    </row>
    <row r="276" spans="1:12" ht="30" x14ac:dyDescent="0.2">
      <c r="A276" s="36">
        <v>18</v>
      </c>
      <c r="B276" s="37" t="s">
        <v>61</v>
      </c>
      <c r="C276" s="26">
        <f>+F234</f>
        <v>53950</v>
      </c>
      <c r="D276" s="10"/>
      <c r="E276" s="27">
        <v>1</v>
      </c>
      <c r="F276" s="28">
        <f>F234*E276</f>
        <v>53950</v>
      </c>
      <c r="G276" s="28"/>
      <c r="H276" s="29">
        <f>SUM(F276:G276)</f>
        <v>53950</v>
      </c>
      <c r="I276" s="10"/>
      <c r="J276" s="30" t="s">
        <v>62</v>
      </c>
      <c r="K276" s="28">
        <f>ROUND(E276*F234,0)</f>
        <v>53950</v>
      </c>
      <c r="L276" s="29"/>
    </row>
    <row r="277" spans="1:12" x14ac:dyDescent="0.2">
      <c r="A277" s="37"/>
      <c r="B277" s="37"/>
      <c r="C277" s="26"/>
      <c r="D277" s="10"/>
      <c r="E277" s="27"/>
      <c r="F277" s="28"/>
      <c r="G277" s="28"/>
      <c r="H277" s="29"/>
      <c r="I277" s="10"/>
      <c r="J277" s="30"/>
      <c r="K277" s="28"/>
      <c r="L277" s="29"/>
    </row>
    <row r="278" spans="1:12" x14ac:dyDescent="0.2">
      <c r="A278" s="37">
        <v>19</v>
      </c>
      <c r="B278" s="37" t="s">
        <v>63</v>
      </c>
      <c r="C278" s="26">
        <f>+F234</f>
        <v>53950</v>
      </c>
      <c r="D278" s="10"/>
      <c r="E278" s="27">
        <f>ROUND(C230/20,0)</f>
        <v>5</v>
      </c>
      <c r="F278" s="28">
        <f>F234*E278</f>
        <v>269750</v>
      </c>
      <c r="G278" s="28"/>
      <c r="H278" s="29">
        <f>SUM(F278:G278)</f>
        <v>269750</v>
      </c>
      <c r="I278" s="10"/>
      <c r="J278" s="30"/>
      <c r="K278" s="28">
        <f>F234*E278</f>
        <v>269750</v>
      </c>
      <c r="L278" s="29"/>
    </row>
    <row r="279" spans="1:12" x14ac:dyDescent="0.2">
      <c r="A279" s="37"/>
      <c r="B279" s="37"/>
      <c r="C279" s="26"/>
      <c r="D279" s="10"/>
      <c r="E279" s="27"/>
      <c r="F279" s="28"/>
      <c r="G279" s="28"/>
      <c r="H279" s="29"/>
      <c r="I279" s="10"/>
      <c r="J279" s="30"/>
      <c r="K279" s="28"/>
      <c r="L279" s="29"/>
    </row>
    <row r="280" spans="1:12" x14ac:dyDescent="0.2">
      <c r="A280" s="37">
        <v>20</v>
      </c>
      <c r="B280" s="37" t="s">
        <v>64</v>
      </c>
      <c r="C280" s="26">
        <f>+F234</f>
        <v>53950</v>
      </c>
      <c r="D280" s="10"/>
      <c r="E280" s="27">
        <f>ROUND(C231/20,0)</f>
        <v>5</v>
      </c>
      <c r="F280" s="28">
        <f>F234*E280</f>
        <v>269750</v>
      </c>
      <c r="G280" s="28"/>
      <c r="H280" s="29">
        <f>SUM(F280:G280)</f>
        <v>269750</v>
      </c>
      <c r="I280" s="10"/>
      <c r="J280" s="30"/>
      <c r="K280" s="28"/>
      <c r="L280" s="29">
        <f>F234*E280</f>
        <v>269750</v>
      </c>
    </row>
    <row r="281" spans="1:12" x14ac:dyDescent="0.2">
      <c r="A281" s="37"/>
      <c r="B281" s="37"/>
      <c r="C281" s="26"/>
      <c r="D281" s="10"/>
      <c r="E281" s="27"/>
      <c r="F281" s="28"/>
      <c r="G281" s="28"/>
      <c r="H281" s="29"/>
      <c r="I281" s="10"/>
      <c r="J281" s="30"/>
      <c r="K281" s="28"/>
      <c r="L281" s="29"/>
    </row>
    <row r="282" spans="1:12" x14ac:dyDescent="0.2">
      <c r="A282" s="37">
        <v>21</v>
      </c>
      <c r="B282" s="37" t="s">
        <v>65</v>
      </c>
      <c r="C282" s="31"/>
      <c r="D282" s="43"/>
      <c r="E282" s="27"/>
      <c r="F282" s="28"/>
      <c r="G282" s="28">
        <f>ROUND(125*C229,0)</f>
        <v>196500</v>
      </c>
      <c r="H282" s="29">
        <f>SUM(F282:G282)</f>
        <v>196500</v>
      </c>
      <c r="I282" s="10"/>
      <c r="J282" s="30" t="s">
        <v>62</v>
      </c>
      <c r="K282" s="29">
        <f>ROUND(125/2*C229,0)</f>
        <v>98250</v>
      </c>
      <c r="L282" s="29">
        <f>ROUND(125/2*C229,0)</f>
        <v>98250</v>
      </c>
    </row>
    <row r="283" spans="1:12" x14ac:dyDescent="0.2">
      <c r="A283" s="37"/>
      <c r="B283" s="37"/>
      <c r="C283" s="26"/>
      <c r="D283" s="10"/>
      <c r="E283" s="27"/>
      <c r="F283" s="28"/>
      <c r="G283" s="28"/>
      <c r="H283" s="29"/>
      <c r="I283" s="10"/>
      <c r="J283" s="30"/>
      <c r="K283" s="28"/>
      <c r="L283" s="29"/>
    </row>
    <row r="284" spans="1:12" x14ac:dyDescent="0.2">
      <c r="A284" s="37">
        <v>22</v>
      </c>
      <c r="B284" s="37" t="s">
        <v>66</v>
      </c>
      <c r="C284" s="26">
        <v>10000</v>
      </c>
      <c r="D284" s="10"/>
      <c r="E284" s="27"/>
      <c r="F284" s="28"/>
      <c r="G284" s="28">
        <f>((E243+E269+E274+E276+E278+E280)*10000)+60000</f>
        <v>240000</v>
      </c>
      <c r="H284" s="29">
        <f>SUM(F284:G284)</f>
        <v>240000</v>
      </c>
      <c r="I284" s="10"/>
      <c r="J284" s="30">
        <f>ROUND(10000*E243,0)</f>
        <v>10000</v>
      </c>
      <c r="K284" s="32">
        <f>(ROUND(10000*(+E278+E276+E274+E269),0))+60000</f>
        <v>180000</v>
      </c>
      <c r="L284" s="33">
        <f>ROUND(10000*E280,0)</f>
        <v>50000</v>
      </c>
    </row>
    <row r="285" spans="1:12" x14ac:dyDescent="0.2">
      <c r="A285" s="37"/>
      <c r="B285" s="37"/>
      <c r="C285" s="26"/>
      <c r="D285" s="10"/>
      <c r="E285" s="27"/>
      <c r="F285" s="28"/>
      <c r="G285" s="28"/>
      <c r="H285" s="29"/>
      <c r="I285" s="10"/>
      <c r="J285" s="30"/>
      <c r="K285" s="32"/>
      <c r="L285" s="33"/>
    </row>
    <row r="286" spans="1:12" x14ac:dyDescent="0.2">
      <c r="A286" s="37">
        <v>23</v>
      </c>
      <c r="B286" s="37" t="s">
        <v>82</v>
      </c>
      <c r="C286" s="26"/>
      <c r="D286" s="10"/>
      <c r="E286" s="27"/>
      <c r="F286" s="28"/>
      <c r="G286" s="28">
        <v>400000</v>
      </c>
      <c r="H286" s="29">
        <f>+G286</f>
        <v>400000</v>
      </c>
      <c r="I286" s="10"/>
      <c r="J286" s="30"/>
      <c r="K286" s="32"/>
      <c r="L286" s="33">
        <f>+H286</f>
        <v>400000</v>
      </c>
    </row>
    <row r="287" spans="1:12" x14ac:dyDescent="0.2">
      <c r="B287" s="2"/>
      <c r="C287" s="26"/>
      <c r="D287" s="10"/>
      <c r="E287" s="27"/>
      <c r="F287" s="28"/>
      <c r="G287" s="28"/>
      <c r="H287" s="29"/>
      <c r="I287" s="10"/>
      <c r="J287" s="30"/>
      <c r="K287" s="28"/>
      <c r="L287" s="29"/>
    </row>
    <row r="288" spans="1:12" ht="15.75" x14ac:dyDescent="0.25">
      <c r="B288" s="3" t="s">
        <v>67</v>
      </c>
      <c r="C288" s="44"/>
      <c r="D288" s="10"/>
      <c r="E288" s="45">
        <f>SUM(E241:E284)</f>
        <v>25</v>
      </c>
      <c r="F288" s="46">
        <f>SUM(F241:F286)</f>
        <v>1624171.89</v>
      </c>
      <c r="G288" s="46">
        <f>SUM(G241:G286)</f>
        <v>1263126</v>
      </c>
      <c r="H288" s="47">
        <f>SUM(H241:H287)</f>
        <v>2887297.8899999997</v>
      </c>
      <c r="I288" s="10"/>
      <c r="J288" s="48">
        <f>SUM(J241:J286)</f>
        <v>508760</v>
      </c>
      <c r="K288" s="46">
        <f>SUM(K241:K287)</f>
        <v>1335397</v>
      </c>
      <c r="L288" s="47">
        <f>SUM(L241:L287)</f>
        <v>1043143</v>
      </c>
    </row>
    <row r="289" spans="1:12" x14ac:dyDescent="0.2">
      <c r="B289" s="49"/>
      <c r="J289" s="50"/>
      <c r="L289" s="50"/>
    </row>
    <row r="290" spans="1:12" x14ac:dyDescent="0.2">
      <c r="B290" s="49"/>
      <c r="J290" s="50"/>
      <c r="L290" s="50"/>
    </row>
    <row r="291" spans="1:12" x14ac:dyDescent="0.2">
      <c r="A291" s="37">
        <v>24</v>
      </c>
      <c r="B291" s="55" t="s">
        <v>68</v>
      </c>
      <c r="C291" s="8"/>
      <c r="D291" s="8"/>
      <c r="E291" s="11"/>
      <c r="L291" s="10">
        <f>+J288+K288+L288</f>
        <v>2887300</v>
      </c>
    </row>
    <row r="292" spans="1:12" x14ac:dyDescent="0.2">
      <c r="A292" s="37">
        <v>25</v>
      </c>
      <c r="B292" s="55" t="s">
        <v>69</v>
      </c>
      <c r="C292" s="7"/>
      <c r="D292" s="7"/>
      <c r="E292" s="11"/>
      <c r="L292" s="10">
        <v>1697376</v>
      </c>
    </row>
    <row r="293" spans="1:12" ht="15.75" x14ac:dyDescent="0.25">
      <c r="A293" s="37">
        <v>26</v>
      </c>
      <c r="B293" s="55" t="s">
        <v>182</v>
      </c>
      <c r="C293" s="7"/>
      <c r="D293" s="7"/>
      <c r="E293" s="11"/>
      <c r="J293" s="10" t="s">
        <v>62</v>
      </c>
      <c r="L293" s="51">
        <f>+L291-L292</f>
        <v>1189924</v>
      </c>
    </row>
    <row r="294" spans="1:12" x14ac:dyDescent="0.2">
      <c r="B294" s="8"/>
      <c r="C294" s="7"/>
      <c r="D294" s="7"/>
      <c r="E294" s="11"/>
      <c r="J294" s="10"/>
      <c r="L294" s="10"/>
    </row>
    <row r="295" spans="1:12" ht="78.75" x14ac:dyDescent="0.25">
      <c r="B295" s="8"/>
      <c r="C295" s="7"/>
      <c r="D295" s="7"/>
      <c r="E295" s="11"/>
      <c r="J295" s="51" t="s">
        <v>71</v>
      </c>
      <c r="K295" s="52" t="s">
        <v>72</v>
      </c>
      <c r="L295" s="53" t="s">
        <v>73</v>
      </c>
    </row>
    <row r="296" spans="1:12" ht="15.75" x14ac:dyDescent="0.25">
      <c r="B296" s="8" t="s">
        <v>74</v>
      </c>
      <c r="C296" s="7"/>
      <c r="D296" s="7"/>
      <c r="E296" s="11"/>
      <c r="J296" s="10">
        <f>+J288+K288</f>
        <v>1844157</v>
      </c>
      <c r="K296" s="10">
        <f>+L292</f>
        <v>1697376</v>
      </c>
      <c r="L296" s="51">
        <f>+J296-K296</f>
        <v>146781</v>
      </c>
    </row>
    <row r="297" spans="1:12" ht="15.75" x14ac:dyDescent="0.25">
      <c r="B297" s="54" t="s">
        <v>75</v>
      </c>
      <c r="C297" s="7"/>
      <c r="D297" s="7"/>
      <c r="E297" s="11"/>
      <c r="J297" s="10">
        <f>+L288</f>
        <v>1043143</v>
      </c>
      <c r="K297" s="10" t="s">
        <v>62</v>
      </c>
      <c r="L297" s="51">
        <f>+J297</f>
        <v>1043143</v>
      </c>
    </row>
    <row r="301" spans="1:12" x14ac:dyDescent="0.2">
      <c r="A301" s="1" t="s">
        <v>23</v>
      </c>
      <c r="B301" s="2"/>
    </row>
    <row r="302" spans="1:12" ht="15.75" x14ac:dyDescent="0.25">
      <c r="A302" s="56" t="s">
        <v>24</v>
      </c>
      <c r="B302" s="3"/>
      <c r="C302" s="56" t="s">
        <v>184</v>
      </c>
    </row>
    <row r="303" spans="1:12" x14ac:dyDescent="0.2">
      <c r="A303" s="55" t="s">
        <v>26</v>
      </c>
      <c r="B303" s="2"/>
    </row>
    <row r="304" spans="1:12" x14ac:dyDescent="0.2">
      <c r="B304" s="2"/>
      <c r="C304" s="4"/>
      <c r="D304" s="4"/>
    </row>
    <row r="305" spans="1:12" x14ac:dyDescent="0.2">
      <c r="B305" s="2"/>
      <c r="C305" s="5"/>
      <c r="D305" s="5"/>
    </row>
    <row r="306" spans="1:12" ht="15.75" x14ac:dyDescent="0.25">
      <c r="A306" s="55" t="s">
        <v>27</v>
      </c>
      <c r="B306" s="2"/>
      <c r="C306" s="6">
        <v>1201</v>
      </c>
      <c r="D306" s="4"/>
      <c r="E306" s="7"/>
    </row>
    <row r="307" spans="1:12" ht="15.75" x14ac:dyDescent="0.25">
      <c r="A307" s="55" t="s">
        <v>28</v>
      </c>
      <c r="B307" s="2"/>
      <c r="C307" s="6">
        <f>C306*0.06</f>
        <v>72.06</v>
      </c>
      <c r="D307" s="4"/>
      <c r="E307" s="7"/>
    </row>
    <row r="308" spans="1:12" ht="15.75" x14ac:dyDescent="0.25">
      <c r="A308" s="55" t="s">
        <v>29</v>
      </c>
      <c r="B308" s="2"/>
      <c r="C308" s="6">
        <f>C306/3*0.2</f>
        <v>80.066666666666663</v>
      </c>
      <c r="D308" s="6"/>
      <c r="E308" s="7"/>
    </row>
    <row r="309" spans="1:12" ht="15.75" x14ac:dyDescent="0.25">
      <c r="B309" s="2" t="s">
        <v>30</v>
      </c>
      <c r="C309" s="6"/>
      <c r="D309" s="4"/>
      <c r="E309" s="7"/>
    </row>
    <row r="310" spans="1:12" x14ac:dyDescent="0.2">
      <c r="B310" s="2"/>
    </row>
    <row r="311" spans="1:12" x14ac:dyDescent="0.2">
      <c r="A311" s="7" t="s">
        <v>31</v>
      </c>
      <c r="B311" s="8"/>
      <c r="D311" s="9"/>
      <c r="F311" s="9">
        <v>53950</v>
      </c>
      <c r="H311" s="10"/>
      <c r="I311" s="10"/>
    </row>
    <row r="312" spans="1:12" x14ac:dyDescent="0.2">
      <c r="A312" s="7" t="s">
        <v>32</v>
      </c>
      <c r="B312" s="8"/>
      <c r="D312" s="9"/>
      <c r="F312" s="9">
        <v>59350</v>
      </c>
      <c r="H312" s="10"/>
      <c r="I312" s="10"/>
    </row>
    <row r="313" spans="1:12" x14ac:dyDescent="0.2">
      <c r="A313" s="7" t="s">
        <v>33</v>
      </c>
      <c r="B313" s="8"/>
      <c r="D313" s="9"/>
      <c r="F313" s="9">
        <v>36150</v>
      </c>
      <c r="H313" s="10"/>
      <c r="I313" s="10"/>
    </row>
    <row r="314" spans="1:12" x14ac:dyDescent="0.2">
      <c r="A314" s="7"/>
      <c r="B314" s="8"/>
      <c r="C314" s="11"/>
      <c r="D314" s="11"/>
      <c r="H314" s="10"/>
      <c r="I314" s="10"/>
    </row>
    <row r="315" spans="1:12" ht="15.75" x14ac:dyDescent="0.25">
      <c r="B315" s="2"/>
      <c r="J315" s="12" t="s">
        <v>34</v>
      </c>
      <c r="K315" s="412" t="s">
        <v>35</v>
      </c>
      <c r="L315" s="413"/>
    </row>
    <row r="316" spans="1:12" ht="31.5" x14ac:dyDescent="0.25">
      <c r="A316" s="56" t="s">
        <v>36</v>
      </c>
      <c r="B316" s="13"/>
      <c r="C316" s="14" t="s">
        <v>37</v>
      </c>
      <c r="D316" s="15"/>
      <c r="E316" s="12" t="s">
        <v>38</v>
      </c>
      <c r="F316" s="12" t="s">
        <v>39</v>
      </c>
      <c r="G316" s="12" t="s">
        <v>40</v>
      </c>
      <c r="H316" s="12" t="s">
        <v>0</v>
      </c>
      <c r="I316" s="16"/>
      <c r="J316" s="14" t="s">
        <v>41</v>
      </c>
      <c r="K316" s="17" t="s">
        <v>42</v>
      </c>
      <c r="L316" s="12" t="s">
        <v>43</v>
      </c>
    </row>
    <row r="317" spans="1:12" ht="15.75" x14ac:dyDescent="0.25">
      <c r="A317" s="18"/>
      <c r="B317" s="13"/>
      <c r="C317" s="19"/>
      <c r="D317" s="15"/>
      <c r="E317" s="20"/>
      <c r="F317" s="21"/>
      <c r="G317" s="21"/>
      <c r="H317" s="22"/>
      <c r="I317" s="16"/>
      <c r="J317" s="23"/>
      <c r="K317" s="24"/>
      <c r="L317" s="25"/>
    </row>
    <row r="318" spans="1:12" x14ac:dyDescent="0.2">
      <c r="A318" s="55">
        <v>1</v>
      </c>
      <c r="B318" s="2" t="s">
        <v>44</v>
      </c>
      <c r="C318" s="26">
        <v>50000</v>
      </c>
      <c r="D318" s="10"/>
      <c r="E318" s="27"/>
      <c r="F318" s="28"/>
      <c r="G318" s="28">
        <f>+C318</f>
        <v>50000</v>
      </c>
      <c r="H318" s="29">
        <f>SUM(F318+G318)</f>
        <v>50000</v>
      </c>
      <c r="I318" s="10"/>
      <c r="J318" s="30">
        <f>+H318</f>
        <v>50000</v>
      </c>
      <c r="K318" s="28"/>
      <c r="L318" s="29"/>
    </row>
    <row r="319" spans="1:12" x14ac:dyDescent="0.2">
      <c r="B319" s="2"/>
      <c r="C319" s="26"/>
      <c r="D319" s="10"/>
      <c r="E319" s="27"/>
      <c r="F319" s="28"/>
      <c r="G319" s="28"/>
      <c r="H319" s="29"/>
      <c r="I319" s="10"/>
      <c r="J319" s="30"/>
      <c r="K319" s="28"/>
      <c r="L319" s="29"/>
    </row>
    <row r="320" spans="1:12" x14ac:dyDescent="0.2">
      <c r="A320" s="55">
        <v>2</v>
      </c>
      <c r="B320" s="2" t="s">
        <v>45</v>
      </c>
      <c r="C320" s="26">
        <v>77000</v>
      </c>
      <c r="D320" s="10"/>
      <c r="E320" s="27">
        <v>1</v>
      </c>
      <c r="F320" s="28">
        <f>+C320*E320</f>
        <v>77000</v>
      </c>
      <c r="G320" s="28"/>
      <c r="H320" s="29">
        <f>SUM(F320+G320)</f>
        <v>77000</v>
      </c>
      <c r="I320" s="10"/>
      <c r="J320" s="30">
        <f>+H320</f>
        <v>77000</v>
      </c>
      <c r="K320" s="28"/>
      <c r="L320" s="29"/>
    </row>
    <row r="321" spans="1:12" x14ac:dyDescent="0.2">
      <c r="B321" s="2"/>
      <c r="C321" s="26"/>
      <c r="D321" s="10"/>
      <c r="E321" s="27"/>
      <c r="F321" s="28"/>
      <c r="G321" s="28"/>
      <c r="H321" s="29"/>
      <c r="I321" s="10"/>
      <c r="J321" s="30"/>
      <c r="K321" s="28"/>
      <c r="L321" s="29"/>
    </row>
    <row r="322" spans="1:12" ht="30" x14ac:dyDescent="0.2">
      <c r="A322" s="55">
        <v>3</v>
      </c>
      <c r="B322" s="2" t="s">
        <v>81</v>
      </c>
      <c r="C322" s="26">
        <f>+F312</f>
        <v>59350</v>
      </c>
      <c r="D322" s="10"/>
      <c r="E322" s="27">
        <v>1</v>
      </c>
      <c r="F322" s="28">
        <f>+C322*E322</f>
        <v>59350</v>
      </c>
      <c r="G322" s="28"/>
      <c r="H322" s="29">
        <f>SUM(F322+G322)</f>
        <v>59350</v>
      </c>
      <c r="I322" s="10"/>
      <c r="J322" s="30">
        <f>+H322</f>
        <v>59350</v>
      </c>
      <c r="K322" s="28"/>
      <c r="L322" s="29"/>
    </row>
    <row r="323" spans="1:12" x14ac:dyDescent="0.2">
      <c r="B323" s="2"/>
      <c r="C323" s="26"/>
      <c r="D323" s="10"/>
      <c r="E323" s="27"/>
      <c r="F323" s="28"/>
      <c r="G323" s="28"/>
      <c r="H323" s="29"/>
      <c r="I323" s="10"/>
      <c r="J323" s="30"/>
      <c r="K323" s="28"/>
      <c r="L323" s="29"/>
    </row>
    <row r="324" spans="1:12" x14ac:dyDescent="0.2">
      <c r="A324" s="55">
        <v>4</v>
      </c>
      <c r="B324" s="2" t="s">
        <v>46</v>
      </c>
      <c r="C324" s="26">
        <v>39300</v>
      </c>
      <c r="D324" s="10"/>
      <c r="E324" s="27">
        <v>1</v>
      </c>
      <c r="F324" s="28">
        <f>+C324*E324</f>
        <v>39300</v>
      </c>
      <c r="G324" s="28"/>
      <c r="H324" s="29">
        <f>SUM(F324+G324)</f>
        <v>39300</v>
      </c>
      <c r="I324" s="10"/>
      <c r="J324" s="30">
        <f>+H324</f>
        <v>39300</v>
      </c>
      <c r="K324" s="28"/>
      <c r="L324" s="29"/>
    </row>
    <row r="325" spans="1:12" x14ac:dyDescent="0.2">
      <c r="B325" s="2"/>
      <c r="C325" s="26"/>
      <c r="D325" s="10"/>
      <c r="E325" s="27"/>
      <c r="F325" s="28"/>
      <c r="G325" s="28"/>
      <c r="H325" s="29"/>
      <c r="I325" s="10"/>
      <c r="J325" s="30"/>
      <c r="K325" s="28"/>
      <c r="L325" s="29"/>
    </row>
    <row r="326" spans="1:12" x14ac:dyDescent="0.2">
      <c r="A326" s="55">
        <v>5</v>
      </c>
      <c r="B326" s="2" t="s">
        <v>47</v>
      </c>
      <c r="C326" s="26">
        <v>36000</v>
      </c>
      <c r="D326" s="10"/>
      <c r="E326" s="27">
        <v>1</v>
      </c>
      <c r="F326" s="28">
        <f>+C326*E326</f>
        <v>36000</v>
      </c>
      <c r="G326" s="28"/>
      <c r="H326" s="29">
        <f>SUM(F326+G326)</f>
        <v>36000</v>
      </c>
      <c r="I326" s="10"/>
      <c r="J326" s="30">
        <f>+H326</f>
        <v>36000</v>
      </c>
      <c r="K326" s="28"/>
      <c r="L326" s="29"/>
    </row>
    <row r="327" spans="1:12" x14ac:dyDescent="0.2">
      <c r="B327" s="2"/>
      <c r="C327" s="26"/>
      <c r="D327" s="10"/>
      <c r="E327" s="27"/>
      <c r="F327" s="28"/>
      <c r="G327" s="28"/>
      <c r="H327" s="29"/>
      <c r="I327" s="10"/>
      <c r="J327" s="30"/>
      <c r="K327" s="28"/>
      <c r="L327" s="29"/>
    </row>
    <row r="328" spans="1:12" x14ac:dyDescent="0.2">
      <c r="A328" s="55">
        <v>6</v>
      </c>
      <c r="B328" s="2" t="s">
        <v>48</v>
      </c>
      <c r="C328" s="26">
        <v>51000</v>
      </c>
      <c r="D328" s="10"/>
      <c r="E328" s="27">
        <v>1</v>
      </c>
      <c r="F328" s="28">
        <f>+C328*E328</f>
        <v>51000</v>
      </c>
      <c r="G328" s="28"/>
      <c r="H328" s="29">
        <f>SUM(F328+G328)</f>
        <v>51000</v>
      </c>
      <c r="I328" s="10"/>
      <c r="J328" s="30">
        <f>+H328</f>
        <v>51000</v>
      </c>
      <c r="K328" s="28"/>
      <c r="L328" s="29"/>
    </row>
    <row r="329" spans="1:12" x14ac:dyDescent="0.2">
      <c r="B329" s="2"/>
      <c r="C329" s="26"/>
      <c r="D329" s="10"/>
      <c r="E329" s="27"/>
      <c r="F329" s="28"/>
      <c r="G329" s="28"/>
      <c r="H329" s="29"/>
      <c r="I329" s="10"/>
      <c r="J329" s="30"/>
      <c r="K329" s="28"/>
      <c r="L329" s="29"/>
    </row>
    <row r="330" spans="1:12" x14ac:dyDescent="0.2">
      <c r="A330" s="55">
        <v>7</v>
      </c>
      <c r="B330" s="2" t="s">
        <v>49</v>
      </c>
      <c r="C330" s="31">
        <v>0</v>
      </c>
      <c r="D330" s="10"/>
      <c r="E330" s="27"/>
      <c r="F330" s="28"/>
      <c r="G330" s="32">
        <v>0</v>
      </c>
      <c r="H330" s="33">
        <v>0</v>
      </c>
      <c r="I330" s="10"/>
      <c r="J330" s="34">
        <f>+H330</f>
        <v>0</v>
      </c>
      <c r="K330" s="32">
        <v>0</v>
      </c>
      <c r="L330" s="33">
        <v>0</v>
      </c>
    </row>
    <row r="331" spans="1:12" x14ac:dyDescent="0.2">
      <c r="B331" s="2"/>
      <c r="C331" s="26"/>
      <c r="D331" s="10"/>
      <c r="E331" s="27"/>
      <c r="F331" s="28"/>
      <c r="G331" s="28"/>
      <c r="H331" s="29"/>
      <c r="I331" s="10"/>
      <c r="J331" s="30"/>
      <c r="K331" s="28"/>
      <c r="L331" s="29"/>
    </row>
    <row r="332" spans="1:12" x14ac:dyDescent="0.2">
      <c r="A332" s="55">
        <v>8</v>
      </c>
      <c r="B332" s="2" t="s">
        <v>50</v>
      </c>
      <c r="C332" s="26">
        <v>13000</v>
      </c>
      <c r="D332" s="10"/>
      <c r="E332" s="27"/>
      <c r="F332" s="28"/>
      <c r="G332" s="28">
        <f>+C332</f>
        <v>13000</v>
      </c>
      <c r="H332" s="29">
        <f>SUM(F332+G332)</f>
        <v>13000</v>
      </c>
      <c r="I332" s="10"/>
      <c r="J332" s="30">
        <f>+H332</f>
        <v>13000</v>
      </c>
      <c r="K332" s="28"/>
      <c r="L332" s="29"/>
    </row>
    <row r="333" spans="1:12" x14ac:dyDescent="0.2">
      <c r="B333" s="2"/>
      <c r="C333" s="26"/>
      <c r="D333" s="10"/>
      <c r="E333" s="27"/>
      <c r="F333" s="28"/>
      <c r="G333" s="28"/>
      <c r="H333" s="29"/>
      <c r="I333" s="10"/>
      <c r="J333" s="30"/>
      <c r="K333" s="28"/>
      <c r="L333" s="29"/>
    </row>
    <row r="334" spans="1:12" x14ac:dyDescent="0.2">
      <c r="A334" s="55">
        <v>9</v>
      </c>
      <c r="B334" s="2" t="s">
        <v>51</v>
      </c>
      <c r="C334" s="26">
        <v>30000</v>
      </c>
      <c r="D334" s="10"/>
      <c r="E334" s="27"/>
      <c r="F334" s="28"/>
      <c r="G334" s="28">
        <f>+C334</f>
        <v>30000</v>
      </c>
      <c r="H334" s="29">
        <f>SUM(F334+G334)</f>
        <v>30000</v>
      </c>
      <c r="I334" s="10"/>
      <c r="J334" s="30">
        <f>+H334</f>
        <v>30000</v>
      </c>
      <c r="K334" s="28"/>
      <c r="L334" s="29"/>
    </row>
    <row r="335" spans="1:12" x14ac:dyDescent="0.2">
      <c r="B335" s="2"/>
      <c r="C335" s="26"/>
      <c r="D335" s="10"/>
      <c r="E335" s="27"/>
      <c r="F335" s="28"/>
      <c r="G335" s="28"/>
      <c r="H335" s="29"/>
      <c r="I335" s="10"/>
      <c r="J335" s="30"/>
      <c r="K335" s="28"/>
      <c r="L335" s="29"/>
    </row>
    <row r="336" spans="1:12" x14ac:dyDescent="0.2">
      <c r="A336" s="55">
        <v>10</v>
      </c>
      <c r="B336" s="2" t="s">
        <v>52</v>
      </c>
      <c r="C336" s="26">
        <v>40000</v>
      </c>
      <c r="D336" s="10"/>
      <c r="E336" s="27"/>
      <c r="F336" s="28"/>
      <c r="G336" s="28">
        <f>+C336</f>
        <v>40000</v>
      </c>
      <c r="H336" s="29">
        <f>SUM(F336+G336)</f>
        <v>40000</v>
      </c>
      <c r="I336" s="10"/>
      <c r="J336" s="30">
        <f>+H336</f>
        <v>40000</v>
      </c>
      <c r="K336" s="28"/>
      <c r="L336" s="29"/>
    </row>
    <row r="337" spans="1:12" x14ac:dyDescent="0.2">
      <c r="B337" s="2"/>
      <c r="C337" s="26"/>
      <c r="D337" s="10"/>
      <c r="E337" s="27"/>
      <c r="F337" s="28"/>
      <c r="G337" s="28"/>
      <c r="H337" s="29"/>
      <c r="I337" s="10"/>
      <c r="J337" s="30"/>
      <c r="K337" s="28"/>
      <c r="L337" s="29"/>
    </row>
    <row r="338" spans="1:12" ht="30" x14ac:dyDescent="0.2">
      <c r="A338" s="55">
        <v>11</v>
      </c>
      <c r="B338" s="2" t="s">
        <v>53</v>
      </c>
      <c r="C338" s="26"/>
      <c r="D338" s="10"/>
      <c r="E338" s="27"/>
      <c r="F338" s="28"/>
      <c r="G338" s="28">
        <f>ROUND((F320+F322+F324+F326+F328+F340+F344+F346+F348+F351+F353+F355+F357)*0.15,0)</f>
        <v>195131</v>
      </c>
      <c r="H338" s="60">
        <f>SUM(F338+G338)</f>
        <v>195131</v>
      </c>
      <c r="I338" s="10"/>
      <c r="J338" s="30">
        <f>ROUND((SUM(F320:F328)*0.15),0)</f>
        <v>39398</v>
      </c>
      <c r="K338" s="32">
        <f>ROUND(SUM(F340:F355)*0.15,0)</f>
        <v>123363</v>
      </c>
      <c r="L338" s="33">
        <f>ROUND(F357*0.15,0)</f>
        <v>32370</v>
      </c>
    </row>
    <row r="339" spans="1:12" x14ac:dyDescent="0.2">
      <c r="B339" s="2"/>
      <c r="C339" s="26"/>
      <c r="D339" s="10"/>
      <c r="E339" s="27"/>
      <c r="F339" s="28"/>
      <c r="G339" s="28"/>
      <c r="H339" s="29"/>
      <c r="I339" s="10"/>
      <c r="J339" s="30"/>
      <c r="K339" s="32"/>
      <c r="L339" s="33"/>
    </row>
    <row r="340" spans="1:12" x14ac:dyDescent="0.2">
      <c r="A340" s="55">
        <v>12</v>
      </c>
      <c r="B340" s="2" t="s">
        <v>54</v>
      </c>
      <c r="C340" s="26"/>
      <c r="D340" s="10"/>
      <c r="E340" s="27"/>
      <c r="F340" s="28">
        <f>(F320+F322+F324+F326+F328+F344+F346+F348+F351+F353+F355+F357)*0.2045</f>
        <v>220862.04499999998</v>
      </c>
      <c r="G340" s="28"/>
      <c r="H340" s="29">
        <f>(+H320+H322+H324+H326+H328+H344+H346+H348+H351+H353+H355+H357)*0.2045</f>
        <v>220862.04499999998</v>
      </c>
      <c r="I340" s="10"/>
      <c r="J340" s="30">
        <f>ROUND((SUM(F320:F328)*0.2045),0)</f>
        <v>53712</v>
      </c>
      <c r="K340" s="32">
        <f>ROUND((SUM(F344:F355)*0.2045),0)</f>
        <v>123019</v>
      </c>
      <c r="L340" s="33">
        <f>ROUND(F357*0.2045,0)</f>
        <v>44131</v>
      </c>
    </row>
    <row r="341" spans="1:12" x14ac:dyDescent="0.2">
      <c r="B341" s="2"/>
      <c r="C341" s="26"/>
      <c r="D341" s="10"/>
      <c r="E341" s="27"/>
      <c r="F341" s="28"/>
      <c r="G341" s="28"/>
      <c r="H341" s="29"/>
      <c r="I341" s="10"/>
      <c r="J341" s="30"/>
      <c r="K341" s="32"/>
      <c r="L341" s="33"/>
    </row>
    <row r="342" spans="1:12" x14ac:dyDescent="0.2">
      <c r="A342" s="55">
        <v>13</v>
      </c>
      <c r="B342" s="2" t="s">
        <v>55</v>
      </c>
      <c r="C342" s="26">
        <v>2000</v>
      </c>
      <c r="D342" s="10"/>
      <c r="E342" s="27"/>
      <c r="F342" s="28"/>
      <c r="G342" s="28">
        <f>E365*2000</f>
        <v>40000</v>
      </c>
      <c r="H342" s="29">
        <f>SUM(F342:G342)</f>
        <v>40000</v>
      </c>
      <c r="I342" s="10"/>
      <c r="J342" s="30">
        <f>(E320+E322+E324+E326+E328)*2000</f>
        <v>10000</v>
      </c>
      <c r="K342" s="32">
        <f>ROUND(SUM(E346:E355)*2000,0)</f>
        <v>22000</v>
      </c>
      <c r="L342" s="33">
        <f>ROUND(E357*2000,0)</f>
        <v>8000</v>
      </c>
    </row>
    <row r="343" spans="1:12" x14ac:dyDescent="0.2">
      <c r="B343" s="2"/>
      <c r="C343" s="26"/>
      <c r="D343" s="10"/>
      <c r="E343" s="27"/>
      <c r="F343" s="28"/>
      <c r="G343" s="28"/>
      <c r="H343" s="29"/>
      <c r="I343" s="10"/>
      <c r="J343" s="30"/>
      <c r="K343" s="32"/>
      <c r="L343" s="33"/>
    </row>
    <row r="344" spans="1:12" ht="30" x14ac:dyDescent="0.2">
      <c r="A344" s="55">
        <v>14</v>
      </c>
      <c r="B344" s="2" t="s">
        <v>56</v>
      </c>
      <c r="C344" s="26"/>
      <c r="D344" s="10"/>
      <c r="E344" s="27"/>
      <c r="F344" s="28">
        <f>(F351+F355+F357+F346)*0.05</f>
        <v>32910</v>
      </c>
      <c r="G344" s="28"/>
      <c r="H344" s="29">
        <f>SUM(F344:G344)</f>
        <v>32910</v>
      </c>
      <c r="I344" s="10"/>
      <c r="J344" s="30"/>
      <c r="K344" s="32">
        <f>ROUND((+F346+F351+F355)*0.05,0)</f>
        <v>22120</v>
      </c>
      <c r="L344" s="33">
        <f>ROUND(F357*0.05,0)</f>
        <v>10790</v>
      </c>
    </row>
    <row r="345" spans="1:12" x14ac:dyDescent="0.2">
      <c r="B345" s="2"/>
      <c r="C345" s="26"/>
      <c r="D345" s="10"/>
      <c r="E345" s="27"/>
      <c r="F345" s="28"/>
      <c r="G345" s="28"/>
      <c r="H345" s="29"/>
      <c r="I345" s="10"/>
      <c r="J345" s="30"/>
      <c r="K345" s="28"/>
      <c r="L345" s="29"/>
    </row>
    <row r="346" spans="1:12" x14ac:dyDescent="0.2">
      <c r="A346" s="55">
        <v>15</v>
      </c>
      <c r="B346" s="2" t="s">
        <v>57</v>
      </c>
      <c r="C346" s="26">
        <f>+F312</f>
        <v>59350</v>
      </c>
      <c r="D346" s="10"/>
      <c r="E346" s="27">
        <f>ROUND((E357+E355+E353+E351+E348)/6,0)</f>
        <v>2</v>
      </c>
      <c r="F346" s="28">
        <f>F312*E346</f>
        <v>118700</v>
      </c>
      <c r="G346" s="28"/>
      <c r="H346" s="29">
        <f>SUM(F346:G346)</f>
        <v>118700</v>
      </c>
      <c r="I346" s="10"/>
      <c r="J346" s="27"/>
      <c r="K346" s="32">
        <f>ROUND(F346*((+E$49+E$51+E$53)/(E$49+E$51+E$53+E$55)),0)</f>
        <v>74772</v>
      </c>
      <c r="L346" s="33">
        <f>ROUND((+F346*(E$55/(+E$49+E$51+E$53+E$55))),0)</f>
        <v>43928</v>
      </c>
    </row>
    <row r="347" spans="1:12" x14ac:dyDescent="0.2">
      <c r="B347" s="2"/>
      <c r="C347" s="26"/>
      <c r="D347" s="10"/>
      <c r="E347" s="27"/>
      <c r="F347" s="28"/>
      <c r="G347" s="28"/>
      <c r="H347" s="29"/>
      <c r="I347" s="10"/>
      <c r="J347" s="30"/>
      <c r="K347" s="28"/>
      <c r="L347" s="29"/>
    </row>
    <row r="348" spans="1:12" x14ac:dyDescent="0.2">
      <c r="A348" s="55">
        <v>16</v>
      </c>
      <c r="B348" s="2" t="s">
        <v>58</v>
      </c>
      <c r="C348" s="26">
        <f>+F313</f>
        <v>36150</v>
      </c>
      <c r="D348" s="10"/>
      <c r="E348" s="27">
        <f>ROUND((E357+E355+E353+E351)/5,0)</f>
        <v>2</v>
      </c>
      <c r="F348" s="28">
        <f>F313*E348</f>
        <v>72300</v>
      </c>
      <c r="G348" s="28"/>
      <c r="H348" s="29">
        <f>SUM(F348:G348)</f>
        <v>72300</v>
      </c>
      <c r="I348" s="10"/>
      <c r="J348" s="30"/>
      <c r="K348" s="32">
        <f>ROUND(F348*((+E$49+E$51+E$53)/(E$49+E$51+E$53+E$55)),0)</f>
        <v>45543</v>
      </c>
      <c r="L348" s="33">
        <f>ROUND((+F348*(E$55/(+E$49+E$51+E$53+E$55))),0)</f>
        <v>26757</v>
      </c>
    </row>
    <row r="349" spans="1:12" x14ac:dyDescent="0.2">
      <c r="B349" s="2"/>
      <c r="C349" s="26"/>
      <c r="D349" s="10"/>
      <c r="E349" s="27"/>
      <c r="F349" s="28"/>
      <c r="G349" s="28"/>
      <c r="H349" s="29"/>
      <c r="I349" s="10"/>
      <c r="J349" s="30"/>
      <c r="K349" s="28"/>
      <c r="L349" s="29"/>
    </row>
    <row r="350" spans="1:12" ht="15.75" x14ac:dyDescent="0.25">
      <c r="A350" s="18" t="s">
        <v>59</v>
      </c>
      <c r="B350" s="2"/>
      <c r="C350" s="26"/>
      <c r="D350" s="10"/>
      <c r="E350" s="27"/>
      <c r="F350" s="28"/>
      <c r="G350" s="28"/>
      <c r="H350" s="29"/>
      <c r="I350" s="10"/>
      <c r="J350" s="30"/>
      <c r="K350" s="28"/>
      <c r="L350" s="29"/>
    </row>
    <row r="351" spans="1:12" x14ac:dyDescent="0.2">
      <c r="A351" s="36">
        <v>17</v>
      </c>
      <c r="B351" s="37" t="s">
        <v>60</v>
      </c>
      <c r="C351" s="38">
        <f>+F311</f>
        <v>53950</v>
      </c>
      <c r="D351" s="39"/>
      <c r="E351" s="40">
        <f>ROUND(C307/30,0)</f>
        <v>2</v>
      </c>
      <c r="F351" s="41">
        <f>F311*E351</f>
        <v>107900</v>
      </c>
      <c r="G351" s="41"/>
      <c r="H351" s="35">
        <f>SUM(F351:G351)</f>
        <v>107900</v>
      </c>
      <c r="I351" s="39"/>
      <c r="J351" s="42"/>
      <c r="K351" s="28">
        <f>F311*E351</f>
        <v>107900</v>
      </c>
      <c r="L351" s="29"/>
    </row>
    <row r="352" spans="1:12" x14ac:dyDescent="0.2">
      <c r="A352" s="37"/>
      <c r="B352" s="37"/>
      <c r="C352" s="26"/>
      <c r="D352" s="10"/>
      <c r="E352" s="27"/>
      <c r="F352" s="28"/>
      <c r="G352" s="28"/>
      <c r="H352" s="29"/>
      <c r="I352" s="10"/>
      <c r="J352" s="30"/>
      <c r="K352" s="28"/>
      <c r="L352" s="29"/>
    </row>
    <row r="353" spans="1:12" ht="30" x14ac:dyDescent="0.2">
      <c r="A353" s="36">
        <v>18</v>
      </c>
      <c r="B353" s="37" t="s">
        <v>61</v>
      </c>
      <c r="C353" s="26">
        <f>+F311</f>
        <v>53950</v>
      </c>
      <c r="D353" s="10"/>
      <c r="E353" s="27">
        <v>1</v>
      </c>
      <c r="F353" s="28">
        <f>F311*E353</f>
        <v>53950</v>
      </c>
      <c r="G353" s="28"/>
      <c r="H353" s="29">
        <f>SUM(F353:G353)</f>
        <v>53950</v>
      </c>
      <c r="I353" s="10"/>
      <c r="J353" s="30" t="s">
        <v>62</v>
      </c>
      <c r="K353" s="28">
        <f>ROUND(E353*F311,0)</f>
        <v>53950</v>
      </c>
      <c r="L353" s="29"/>
    </row>
    <row r="354" spans="1:12" x14ac:dyDescent="0.2">
      <c r="A354" s="37"/>
      <c r="B354" s="37"/>
      <c r="C354" s="26"/>
      <c r="D354" s="10"/>
      <c r="E354" s="27"/>
      <c r="F354" s="28"/>
      <c r="G354" s="28"/>
      <c r="H354" s="29"/>
      <c r="I354" s="10"/>
      <c r="J354" s="30"/>
      <c r="K354" s="28"/>
      <c r="L354" s="29"/>
    </row>
    <row r="355" spans="1:12" x14ac:dyDescent="0.2">
      <c r="A355" s="37">
        <v>19</v>
      </c>
      <c r="B355" s="37" t="s">
        <v>63</v>
      </c>
      <c r="C355" s="26">
        <f>+F311</f>
        <v>53950</v>
      </c>
      <c r="D355" s="10"/>
      <c r="E355" s="27">
        <f>ROUND(C307/20,0)</f>
        <v>4</v>
      </c>
      <c r="F355" s="28">
        <f>F311*E355</f>
        <v>215800</v>
      </c>
      <c r="G355" s="28"/>
      <c r="H355" s="29">
        <f>SUM(F355:G355)</f>
        <v>215800</v>
      </c>
      <c r="I355" s="10"/>
      <c r="J355" s="30"/>
      <c r="K355" s="28">
        <f>F311*E355</f>
        <v>215800</v>
      </c>
      <c r="L355" s="29"/>
    </row>
    <row r="356" spans="1:12" x14ac:dyDescent="0.2">
      <c r="A356" s="37"/>
      <c r="B356" s="37"/>
      <c r="C356" s="26"/>
      <c r="D356" s="10"/>
      <c r="E356" s="27"/>
      <c r="F356" s="28"/>
      <c r="G356" s="28"/>
      <c r="H356" s="29"/>
      <c r="I356" s="10"/>
      <c r="J356" s="30"/>
      <c r="K356" s="28"/>
      <c r="L356" s="29"/>
    </row>
    <row r="357" spans="1:12" x14ac:dyDescent="0.2">
      <c r="A357" s="37">
        <v>20</v>
      </c>
      <c r="B357" s="37" t="s">
        <v>64</v>
      </c>
      <c r="C357" s="26">
        <f>+F311</f>
        <v>53950</v>
      </c>
      <c r="D357" s="10"/>
      <c r="E357" s="27">
        <f>ROUND(C308/20,0)</f>
        <v>4</v>
      </c>
      <c r="F357" s="28">
        <f>F311*E357</f>
        <v>215800</v>
      </c>
      <c r="G357" s="28"/>
      <c r="H357" s="29">
        <f>SUM(F357:G357)</f>
        <v>215800</v>
      </c>
      <c r="I357" s="10"/>
      <c r="J357" s="30"/>
      <c r="K357" s="28"/>
      <c r="L357" s="29">
        <f>F311*E357</f>
        <v>215800</v>
      </c>
    </row>
    <row r="358" spans="1:12" x14ac:dyDescent="0.2">
      <c r="A358" s="37"/>
      <c r="B358" s="37"/>
      <c r="C358" s="26"/>
      <c r="D358" s="10"/>
      <c r="E358" s="27"/>
      <c r="F358" s="28"/>
      <c r="G358" s="28"/>
      <c r="H358" s="29"/>
      <c r="I358" s="10"/>
      <c r="J358" s="30"/>
      <c r="K358" s="28"/>
      <c r="L358" s="29"/>
    </row>
    <row r="359" spans="1:12" x14ac:dyDescent="0.2">
      <c r="A359" s="37">
        <v>21</v>
      </c>
      <c r="B359" s="37" t="s">
        <v>65</v>
      </c>
      <c r="C359" s="31"/>
      <c r="D359" s="43"/>
      <c r="E359" s="27"/>
      <c r="F359" s="28"/>
      <c r="G359" s="28">
        <f>ROUND(125*C306,0)</f>
        <v>150125</v>
      </c>
      <c r="H359" s="29">
        <f>SUM(F359:G359)</f>
        <v>150125</v>
      </c>
      <c r="I359" s="10"/>
      <c r="J359" s="30" t="s">
        <v>62</v>
      </c>
      <c r="K359" s="29">
        <f>ROUND(125/2*C306,0)</f>
        <v>75063</v>
      </c>
      <c r="L359" s="29">
        <f>ROUND(125/2*C306,0)</f>
        <v>75063</v>
      </c>
    </row>
    <row r="360" spans="1:12" x14ac:dyDescent="0.2">
      <c r="A360" s="37"/>
      <c r="B360" s="37"/>
      <c r="C360" s="26"/>
      <c r="D360" s="10"/>
      <c r="E360" s="27"/>
      <c r="F360" s="28"/>
      <c r="G360" s="28"/>
      <c r="H360" s="29"/>
      <c r="I360" s="10"/>
      <c r="J360" s="30"/>
      <c r="K360" s="28"/>
      <c r="L360" s="29"/>
    </row>
    <row r="361" spans="1:12" x14ac:dyDescent="0.2">
      <c r="A361" s="37">
        <v>22</v>
      </c>
      <c r="B361" s="37" t="s">
        <v>66</v>
      </c>
      <c r="C361" s="26">
        <v>10000</v>
      </c>
      <c r="D361" s="10"/>
      <c r="E361" s="27"/>
      <c r="F361" s="28"/>
      <c r="G361" s="28">
        <f>(E320+E346+E351+E353+E355+E357)*10000</f>
        <v>140000</v>
      </c>
      <c r="H361" s="29">
        <f>SUM(F361:G361)</f>
        <v>140000</v>
      </c>
      <c r="I361" s="10"/>
      <c r="J361" s="30">
        <f>ROUND(10000*E320,0)</f>
        <v>10000</v>
      </c>
      <c r="K361" s="32">
        <f>ROUND(10000*(+E355+E353+E351+E346),0)</f>
        <v>90000</v>
      </c>
      <c r="L361" s="33">
        <f>ROUND(10000*E357,0)</f>
        <v>40000</v>
      </c>
    </row>
    <row r="362" spans="1:12" x14ac:dyDescent="0.2">
      <c r="A362" s="37"/>
      <c r="B362" s="37"/>
      <c r="C362" s="26"/>
      <c r="D362" s="10"/>
      <c r="E362" s="27"/>
      <c r="F362" s="28"/>
      <c r="G362" s="28"/>
      <c r="H362" s="29"/>
      <c r="I362" s="10"/>
      <c r="J362" s="30"/>
      <c r="K362" s="32"/>
      <c r="L362" s="33"/>
    </row>
    <row r="363" spans="1:12" x14ac:dyDescent="0.2">
      <c r="A363" s="37">
        <v>23</v>
      </c>
      <c r="B363" s="37" t="s">
        <v>82</v>
      </c>
      <c r="C363" s="26"/>
      <c r="D363" s="10"/>
      <c r="E363" s="27"/>
      <c r="F363" s="28"/>
      <c r="G363" s="28">
        <v>25700</v>
      </c>
      <c r="H363" s="29">
        <f>+G363</f>
        <v>25700</v>
      </c>
      <c r="I363" s="10"/>
      <c r="J363" s="30"/>
      <c r="K363" s="32"/>
      <c r="L363" s="33">
        <f>+H363</f>
        <v>25700</v>
      </c>
    </row>
    <row r="364" spans="1:12" x14ac:dyDescent="0.2">
      <c r="B364" s="2"/>
      <c r="C364" s="26"/>
      <c r="D364" s="10"/>
      <c r="E364" s="27"/>
      <c r="F364" s="28"/>
      <c r="G364" s="28"/>
      <c r="H364" s="29"/>
      <c r="I364" s="10"/>
      <c r="J364" s="30"/>
      <c r="K364" s="28"/>
      <c r="L364" s="29"/>
    </row>
    <row r="365" spans="1:12" ht="15.75" x14ac:dyDescent="0.25">
      <c r="B365" s="3" t="s">
        <v>67</v>
      </c>
      <c r="C365" s="44"/>
      <c r="D365" s="10"/>
      <c r="E365" s="45">
        <f>SUM(E318:E361)</f>
        <v>20</v>
      </c>
      <c r="F365" s="46">
        <f>SUM(F318:F363)</f>
        <v>1300872.0449999999</v>
      </c>
      <c r="G365" s="46">
        <f>SUM(G318:G363)</f>
        <v>683956</v>
      </c>
      <c r="H365" s="47">
        <f>SUM(H318:H364)</f>
        <v>1984828.0449999999</v>
      </c>
      <c r="I365" s="10"/>
      <c r="J365" s="48">
        <f>SUM(J318:J363)</f>
        <v>508760</v>
      </c>
      <c r="K365" s="46">
        <f>SUM(K318:K364)</f>
        <v>953530</v>
      </c>
      <c r="L365" s="47">
        <f>SUM(L318:L364)</f>
        <v>522539</v>
      </c>
    </row>
    <row r="366" spans="1:12" x14ac:dyDescent="0.2">
      <c r="B366" s="49"/>
      <c r="J366" s="50"/>
      <c r="L366" s="50"/>
    </row>
    <row r="367" spans="1:12" x14ac:dyDescent="0.2">
      <c r="B367" s="49"/>
      <c r="J367" s="50"/>
      <c r="L367" s="50"/>
    </row>
    <row r="368" spans="1:12" x14ac:dyDescent="0.2">
      <c r="A368" s="37">
        <v>24</v>
      </c>
      <c r="B368" s="55" t="s">
        <v>68</v>
      </c>
      <c r="C368" s="8"/>
      <c r="D368" s="8"/>
      <c r="E368" s="11"/>
      <c r="L368" s="10">
        <f>+J365+K365+L365</f>
        <v>1984829</v>
      </c>
    </row>
    <row r="369" spans="1:12" x14ac:dyDescent="0.2">
      <c r="A369" s="37">
        <v>25</v>
      </c>
      <c r="B369" s="55" t="s">
        <v>69</v>
      </c>
      <c r="C369" s="7"/>
      <c r="D369" s="7"/>
      <c r="E369" s="11"/>
      <c r="L369" s="10">
        <v>1185562</v>
      </c>
    </row>
    <row r="370" spans="1:12" ht="15.75" x14ac:dyDescent="0.25">
      <c r="A370" s="37">
        <v>26</v>
      </c>
      <c r="B370" s="55" t="s">
        <v>182</v>
      </c>
      <c r="C370" s="7"/>
      <c r="D370" s="7"/>
      <c r="E370" s="11"/>
      <c r="J370" s="10" t="s">
        <v>62</v>
      </c>
      <c r="L370" s="51">
        <f>+L368-L369</f>
        <v>799267</v>
      </c>
    </row>
    <row r="371" spans="1:12" x14ac:dyDescent="0.2">
      <c r="B371" s="8"/>
      <c r="C371" s="7"/>
      <c r="D371" s="7"/>
      <c r="E371" s="11"/>
      <c r="J371" s="10"/>
      <c r="L371" s="10"/>
    </row>
    <row r="372" spans="1:12" ht="78.75" x14ac:dyDescent="0.25">
      <c r="B372" s="8"/>
      <c r="C372" s="7"/>
      <c r="D372" s="7"/>
      <c r="E372" s="11"/>
      <c r="J372" s="51" t="s">
        <v>71</v>
      </c>
      <c r="K372" s="52" t="s">
        <v>72</v>
      </c>
      <c r="L372" s="53" t="s">
        <v>73</v>
      </c>
    </row>
    <row r="373" spans="1:12" ht="15.75" x14ac:dyDescent="0.25">
      <c r="B373" s="8" t="s">
        <v>74</v>
      </c>
      <c r="C373" s="7"/>
      <c r="D373" s="7"/>
      <c r="E373" s="11"/>
      <c r="J373" s="10">
        <f>+J365+K365</f>
        <v>1462290</v>
      </c>
      <c r="K373" s="10">
        <f>+L369</f>
        <v>1185562</v>
      </c>
      <c r="L373" s="51">
        <f>+J373-K373</f>
        <v>276728</v>
      </c>
    </row>
    <row r="374" spans="1:12" ht="15.75" x14ac:dyDescent="0.25">
      <c r="B374" s="54" t="s">
        <v>75</v>
      </c>
      <c r="C374" s="7"/>
      <c r="D374" s="7"/>
      <c r="E374" s="11"/>
      <c r="J374" s="10">
        <f>+L365</f>
        <v>522539</v>
      </c>
      <c r="K374" s="10" t="s">
        <v>62</v>
      </c>
      <c r="L374" s="51">
        <f>+J374</f>
        <v>522539</v>
      </c>
    </row>
    <row r="377" spans="1:12" x14ac:dyDescent="0.2">
      <c r="A377" s="1" t="s">
        <v>23</v>
      </c>
      <c r="B377" s="2"/>
    </row>
    <row r="378" spans="1:12" ht="15.75" x14ac:dyDescent="0.25">
      <c r="A378" s="56" t="s">
        <v>24</v>
      </c>
      <c r="B378" s="3"/>
      <c r="C378" s="56" t="s">
        <v>185</v>
      </c>
    </row>
    <row r="379" spans="1:12" x14ac:dyDescent="0.2">
      <c r="A379" s="55" t="s">
        <v>26</v>
      </c>
      <c r="B379" s="2"/>
    </row>
    <row r="380" spans="1:12" x14ac:dyDescent="0.2">
      <c r="B380" s="2"/>
      <c r="C380" s="4"/>
      <c r="D380" s="4"/>
    </row>
    <row r="381" spans="1:12" x14ac:dyDescent="0.2">
      <c r="B381" s="2"/>
      <c r="C381" s="5"/>
      <c r="D381" s="5"/>
    </row>
    <row r="382" spans="1:12" ht="15.75" x14ac:dyDescent="0.25">
      <c r="A382" s="55" t="s">
        <v>27</v>
      </c>
      <c r="B382" s="2"/>
      <c r="C382" s="6">
        <v>451</v>
      </c>
      <c r="D382" s="4"/>
      <c r="E382" s="7"/>
    </row>
    <row r="383" spans="1:12" ht="15.75" x14ac:dyDescent="0.25">
      <c r="A383" s="55" t="s">
        <v>28</v>
      </c>
      <c r="B383" s="2"/>
      <c r="C383" s="6">
        <f>C382*0.06</f>
        <v>27.06</v>
      </c>
      <c r="D383" s="4"/>
      <c r="E383" s="7"/>
    </row>
    <row r="384" spans="1:12" ht="15.75" x14ac:dyDescent="0.25">
      <c r="A384" s="55" t="s">
        <v>29</v>
      </c>
      <c r="B384" s="2"/>
      <c r="C384" s="6">
        <f>C382/3*0.2</f>
        <v>30.06666666666667</v>
      </c>
      <c r="D384" s="6"/>
      <c r="E384" s="7"/>
    </row>
    <row r="385" spans="1:12" ht="15.75" x14ac:dyDescent="0.25">
      <c r="B385" s="2" t="s">
        <v>30</v>
      </c>
      <c r="C385" s="6"/>
      <c r="D385" s="4"/>
      <c r="E385" s="7"/>
    </row>
    <row r="386" spans="1:12" x14ac:dyDescent="0.2">
      <c r="B386" s="2"/>
    </row>
    <row r="387" spans="1:12" x14ac:dyDescent="0.2">
      <c r="A387" s="7" t="s">
        <v>31</v>
      </c>
      <c r="B387" s="8"/>
      <c r="D387" s="9"/>
      <c r="F387" s="9">
        <v>53950</v>
      </c>
      <c r="H387" s="10"/>
      <c r="I387" s="10"/>
    </row>
    <row r="388" spans="1:12" x14ac:dyDescent="0.2">
      <c r="A388" s="7" t="s">
        <v>32</v>
      </c>
      <c r="B388" s="8"/>
      <c r="D388" s="9"/>
      <c r="F388" s="9">
        <v>59350</v>
      </c>
      <c r="H388" s="10"/>
      <c r="I388" s="10"/>
    </row>
    <row r="389" spans="1:12" x14ac:dyDescent="0.2">
      <c r="A389" s="7" t="s">
        <v>33</v>
      </c>
      <c r="B389" s="8"/>
      <c r="D389" s="9"/>
      <c r="F389" s="9">
        <v>36150</v>
      </c>
      <c r="H389" s="10"/>
      <c r="I389" s="10"/>
    </row>
    <row r="390" spans="1:12" x14ac:dyDescent="0.2">
      <c r="A390" s="7"/>
      <c r="B390" s="8"/>
      <c r="C390" s="11"/>
      <c r="D390" s="11"/>
      <c r="H390" s="10"/>
      <c r="I390" s="10"/>
    </row>
    <row r="391" spans="1:12" ht="15.75" x14ac:dyDescent="0.25">
      <c r="B391" s="2"/>
      <c r="J391" s="12" t="s">
        <v>34</v>
      </c>
      <c r="K391" s="412" t="s">
        <v>35</v>
      </c>
      <c r="L391" s="413"/>
    </row>
    <row r="392" spans="1:12" ht="31.5" x14ac:dyDescent="0.25">
      <c r="A392" s="56" t="s">
        <v>36</v>
      </c>
      <c r="B392" s="13"/>
      <c r="C392" s="14" t="s">
        <v>37</v>
      </c>
      <c r="D392" s="15"/>
      <c r="E392" s="12" t="s">
        <v>38</v>
      </c>
      <c r="F392" s="12" t="s">
        <v>39</v>
      </c>
      <c r="G392" s="12" t="s">
        <v>40</v>
      </c>
      <c r="H392" s="12" t="s">
        <v>0</v>
      </c>
      <c r="I392" s="16"/>
      <c r="J392" s="14" t="s">
        <v>41</v>
      </c>
      <c r="K392" s="17" t="s">
        <v>42</v>
      </c>
      <c r="L392" s="12" t="s">
        <v>43</v>
      </c>
    </row>
    <row r="393" spans="1:12" ht="15.75" x14ac:dyDescent="0.25">
      <c r="A393" s="18"/>
      <c r="B393" s="13"/>
      <c r="C393" s="19"/>
      <c r="D393" s="15"/>
      <c r="E393" s="20"/>
      <c r="F393" s="21"/>
      <c r="G393" s="21"/>
      <c r="H393" s="22"/>
      <c r="I393" s="16"/>
      <c r="J393" s="23"/>
      <c r="K393" s="24"/>
      <c r="L393" s="25"/>
    </row>
    <row r="394" spans="1:12" x14ac:dyDescent="0.2">
      <c r="A394" s="55">
        <v>1</v>
      </c>
      <c r="B394" s="2" t="s">
        <v>44</v>
      </c>
      <c r="C394" s="26">
        <v>50000</v>
      </c>
      <c r="D394" s="10"/>
      <c r="E394" s="27"/>
      <c r="F394" s="28"/>
      <c r="G394" s="28">
        <f>+C394</f>
        <v>50000</v>
      </c>
      <c r="H394" s="29">
        <f>SUM(F394+G394)</f>
        <v>50000</v>
      </c>
      <c r="I394" s="10"/>
      <c r="J394" s="30">
        <f>+H394</f>
        <v>50000</v>
      </c>
      <c r="K394" s="28"/>
      <c r="L394" s="29"/>
    </row>
    <row r="395" spans="1:12" x14ac:dyDescent="0.2">
      <c r="B395" s="2"/>
      <c r="C395" s="26"/>
      <c r="D395" s="10"/>
      <c r="E395" s="27"/>
      <c r="F395" s="28"/>
      <c r="G395" s="28"/>
      <c r="H395" s="29"/>
      <c r="I395" s="10"/>
      <c r="J395" s="30"/>
      <c r="K395" s="28"/>
      <c r="L395" s="29"/>
    </row>
    <row r="396" spans="1:12" x14ac:dyDescent="0.2">
      <c r="A396" s="55">
        <v>2</v>
      </c>
      <c r="B396" s="2" t="s">
        <v>45</v>
      </c>
      <c r="C396" s="26">
        <v>77000</v>
      </c>
      <c r="D396" s="10"/>
      <c r="E396" s="27">
        <v>1</v>
      </c>
      <c r="F396" s="28">
        <f>+C396*E396</f>
        <v>77000</v>
      </c>
      <c r="G396" s="28"/>
      <c r="H396" s="29">
        <f>SUM(F396+G396)</f>
        <v>77000</v>
      </c>
      <c r="I396" s="10"/>
      <c r="J396" s="30">
        <f>+H396</f>
        <v>77000</v>
      </c>
      <c r="K396" s="28"/>
      <c r="L396" s="29"/>
    </row>
    <row r="397" spans="1:12" x14ac:dyDescent="0.2">
      <c r="B397" s="2"/>
      <c r="C397" s="26"/>
      <c r="D397" s="10"/>
      <c r="E397" s="27"/>
      <c r="F397" s="28"/>
      <c r="G397" s="28"/>
      <c r="H397" s="29"/>
      <c r="I397" s="10"/>
      <c r="J397" s="30"/>
      <c r="K397" s="28"/>
      <c r="L397" s="29"/>
    </row>
    <row r="398" spans="1:12" ht="30" x14ac:dyDescent="0.2">
      <c r="A398" s="55">
        <v>3</v>
      </c>
      <c r="B398" s="2" t="s">
        <v>81</v>
      </c>
      <c r="C398" s="26">
        <f>+F388</f>
        <v>59350</v>
      </c>
      <c r="D398" s="10"/>
      <c r="E398" s="27">
        <v>1</v>
      </c>
      <c r="F398" s="28">
        <f>+C398*E398</f>
        <v>59350</v>
      </c>
      <c r="G398" s="28"/>
      <c r="H398" s="29">
        <f>SUM(F398+G398)</f>
        <v>59350</v>
      </c>
      <c r="I398" s="10"/>
      <c r="J398" s="30">
        <f>+H398</f>
        <v>59350</v>
      </c>
      <c r="K398" s="28"/>
      <c r="L398" s="29"/>
    </row>
    <row r="399" spans="1:12" x14ac:dyDescent="0.2">
      <c r="B399" s="2"/>
      <c r="C399" s="26"/>
      <c r="D399" s="10"/>
      <c r="E399" s="27"/>
      <c r="F399" s="28"/>
      <c r="G399" s="28"/>
      <c r="H399" s="29"/>
      <c r="I399" s="10"/>
      <c r="J399" s="30"/>
      <c r="K399" s="28"/>
      <c r="L399" s="29"/>
    </row>
    <row r="400" spans="1:12" x14ac:dyDescent="0.2">
      <c r="A400" s="55">
        <v>4</v>
      </c>
      <c r="B400" s="2" t="s">
        <v>46</v>
      </c>
      <c r="C400" s="26">
        <v>39300</v>
      </c>
      <c r="D400" s="10"/>
      <c r="E400" s="27"/>
      <c r="F400" s="28">
        <f>+C400*E400</f>
        <v>0</v>
      </c>
      <c r="G400" s="28"/>
      <c r="H400" s="29">
        <f>SUM(F400+G400)</f>
        <v>0</v>
      </c>
      <c r="I400" s="10"/>
      <c r="J400" s="30">
        <f>+H400</f>
        <v>0</v>
      </c>
      <c r="K400" s="28"/>
      <c r="L400" s="29"/>
    </row>
    <row r="401" spans="1:12" x14ac:dyDescent="0.2">
      <c r="B401" s="2"/>
      <c r="C401" s="26"/>
      <c r="D401" s="10"/>
      <c r="E401" s="27"/>
      <c r="F401" s="28"/>
      <c r="G401" s="28"/>
      <c r="H401" s="29"/>
      <c r="I401" s="10"/>
      <c r="J401" s="30"/>
      <c r="K401" s="28"/>
      <c r="L401" s="29"/>
    </row>
    <row r="402" spans="1:12" x14ac:dyDescent="0.2">
      <c r="A402" s="55">
        <v>5</v>
      </c>
      <c r="B402" s="2" t="s">
        <v>47</v>
      </c>
      <c r="C402" s="26">
        <v>36000</v>
      </c>
      <c r="D402" s="10"/>
      <c r="E402" s="27"/>
      <c r="F402" s="28">
        <f>+C402*E402</f>
        <v>0</v>
      </c>
      <c r="G402" s="28"/>
      <c r="H402" s="29">
        <f>SUM(F402+G402)</f>
        <v>0</v>
      </c>
      <c r="I402" s="10"/>
      <c r="J402" s="30">
        <f>+H402</f>
        <v>0</v>
      </c>
      <c r="K402" s="28"/>
      <c r="L402" s="29"/>
    </row>
    <row r="403" spans="1:12" x14ac:dyDescent="0.2">
      <c r="B403" s="2"/>
      <c r="C403" s="26"/>
      <c r="D403" s="10"/>
      <c r="E403" s="27"/>
      <c r="F403" s="28"/>
      <c r="G403" s="28"/>
      <c r="H403" s="29"/>
      <c r="I403" s="10"/>
      <c r="J403" s="30"/>
      <c r="K403" s="28"/>
      <c r="L403" s="29"/>
    </row>
    <row r="404" spans="1:12" x14ac:dyDescent="0.2">
      <c r="A404" s="55">
        <v>6</v>
      </c>
      <c r="B404" s="2" t="s">
        <v>48</v>
      </c>
      <c r="C404" s="26">
        <v>51000</v>
      </c>
      <c r="D404" s="10"/>
      <c r="E404" s="27">
        <v>0.5</v>
      </c>
      <c r="F404" s="28">
        <f>+C404*E404</f>
        <v>25500</v>
      </c>
      <c r="G404" s="28"/>
      <c r="H404" s="29">
        <f>SUM(F404+G404)</f>
        <v>25500</v>
      </c>
      <c r="I404" s="10"/>
      <c r="J404" s="30">
        <f>+H404</f>
        <v>25500</v>
      </c>
      <c r="K404" s="28"/>
      <c r="L404" s="29"/>
    </row>
    <row r="405" spans="1:12" x14ac:dyDescent="0.2">
      <c r="B405" s="2"/>
      <c r="C405" s="26"/>
      <c r="D405" s="10"/>
      <c r="E405" s="27"/>
      <c r="F405" s="28"/>
      <c r="G405" s="28"/>
      <c r="H405" s="29"/>
      <c r="I405" s="10"/>
      <c r="J405" s="30"/>
      <c r="K405" s="28"/>
      <c r="L405" s="29"/>
    </row>
    <row r="406" spans="1:12" x14ac:dyDescent="0.2">
      <c r="A406" s="55">
        <v>7</v>
      </c>
      <c r="B406" s="2" t="s">
        <v>49</v>
      </c>
      <c r="C406" s="31">
        <v>0</v>
      </c>
      <c r="D406" s="10"/>
      <c r="E406" s="27"/>
      <c r="F406" s="28"/>
      <c r="G406" s="32">
        <v>0</v>
      </c>
      <c r="H406" s="33">
        <v>0</v>
      </c>
      <c r="I406" s="10"/>
      <c r="J406" s="34">
        <f>+H406</f>
        <v>0</v>
      </c>
      <c r="K406" s="32">
        <v>0</v>
      </c>
      <c r="L406" s="33">
        <v>0</v>
      </c>
    </row>
    <row r="407" spans="1:12" x14ac:dyDescent="0.2">
      <c r="B407" s="2"/>
      <c r="C407" s="26"/>
      <c r="D407" s="10"/>
      <c r="E407" s="27"/>
      <c r="F407" s="28"/>
      <c r="G407" s="28"/>
      <c r="H407" s="29"/>
      <c r="I407" s="10"/>
      <c r="J407" s="30"/>
      <c r="K407" s="28"/>
      <c r="L407" s="29"/>
    </row>
    <row r="408" spans="1:12" x14ac:dyDescent="0.2">
      <c r="A408" s="55">
        <v>8</v>
      </c>
      <c r="B408" s="2" t="s">
        <v>50</v>
      </c>
      <c r="C408" s="26">
        <v>13000</v>
      </c>
      <c r="D408" s="10"/>
      <c r="E408" s="27"/>
      <c r="F408" s="28"/>
      <c r="G408" s="28">
        <f>+C408</f>
        <v>13000</v>
      </c>
      <c r="H408" s="29">
        <f>SUM(F408+G408)</f>
        <v>13000</v>
      </c>
      <c r="I408" s="10"/>
      <c r="J408" s="30">
        <f>+H408</f>
        <v>13000</v>
      </c>
      <c r="K408" s="28"/>
      <c r="L408" s="29"/>
    </row>
    <row r="409" spans="1:12" x14ac:dyDescent="0.2">
      <c r="B409" s="2"/>
      <c r="C409" s="26"/>
      <c r="D409" s="10"/>
      <c r="E409" s="27"/>
      <c r="F409" s="28"/>
      <c r="G409" s="28"/>
      <c r="H409" s="29"/>
      <c r="I409" s="10"/>
      <c r="J409" s="30"/>
      <c r="K409" s="28"/>
      <c r="L409" s="29"/>
    </row>
    <row r="410" spans="1:12" x14ac:dyDescent="0.2">
      <c r="A410" s="55">
        <v>9</v>
      </c>
      <c r="B410" s="2" t="s">
        <v>51</v>
      </c>
      <c r="C410" s="26">
        <v>30000</v>
      </c>
      <c r="D410" s="10"/>
      <c r="E410" s="27"/>
      <c r="F410" s="28"/>
      <c r="G410" s="28">
        <f>+C410</f>
        <v>30000</v>
      </c>
      <c r="H410" s="29">
        <f>SUM(F410+G410)</f>
        <v>30000</v>
      </c>
      <c r="I410" s="10"/>
      <c r="J410" s="30">
        <f>+H410</f>
        <v>30000</v>
      </c>
      <c r="K410" s="28"/>
      <c r="L410" s="29"/>
    </row>
    <row r="411" spans="1:12" x14ac:dyDescent="0.2">
      <c r="B411" s="2"/>
      <c r="C411" s="26"/>
      <c r="D411" s="10"/>
      <c r="E411" s="27"/>
      <c r="F411" s="28"/>
      <c r="G411" s="28"/>
      <c r="H411" s="29"/>
      <c r="I411" s="10"/>
      <c r="J411" s="30"/>
      <c r="K411" s="28"/>
      <c r="L411" s="29"/>
    </row>
    <row r="412" spans="1:12" x14ac:dyDescent="0.2">
      <c r="A412" s="55">
        <v>10</v>
      </c>
      <c r="B412" s="2" t="s">
        <v>52</v>
      </c>
      <c r="C412" s="26">
        <v>40000</v>
      </c>
      <c r="D412" s="10"/>
      <c r="E412" s="27"/>
      <c r="F412" s="28"/>
      <c r="G412" s="28">
        <f>+C412</f>
        <v>40000</v>
      </c>
      <c r="H412" s="29">
        <f>SUM(F412+G412)</f>
        <v>40000</v>
      </c>
      <c r="I412" s="10"/>
      <c r="J412" s="30">
        <f>+H412</f>
        <v>40000</v>
      </c>
      <c r="K412" s="28"/>
      <c r="L412" s="29"/>
    </row>
    <row r="413" spans="1:12" x14ac:dyDescent="0.2">
      <c r="B413" s="2"/>
      <c r="C413" s="26"/>
      <c r="D413" s="10"/>
      <c r="E413" s="27"/>
      <c r="F413" s="28"/>
      <c r="G413" s="28"/>
      <c r="H413" s="29"/>
      <c r="I413" s="10"/>
      <c r="J413" s="30"/>
      <c r="K413" s="28"/>
      <c r="L413" s="29"/>
    </row>
    <row r="414" spans="1:12" ht="30" x14ac:dyDescent="0.2">
      <c r="A414" s="55">
        <v>11</v>
      </c>
      <c r="B414" s="2" t="s">
        <v>53</v>
      </c>
      <c r="C414" s="26"/>
      <c r="D414" s="10"/>
      <c r="E414" s="27"/>
      <c r="F414" s="28"/>
      <c r="G414" s="28">
        <f>ROUND((F396+F398+F400+F402+F404+F416+F420+F422+F424+F427+F429+F431+F433)*0.15,0)</f>
        <v>86460</v>
      </c>
      <c r="H414" s="60">
        <f>SUM(F414+G414)</f>
        <v>86460</v>
      </c>
      <c r="I414" s="10"/>
      <c r="J414" s="30">
        <f>ROUND((SUM(F396:F404)*0.15),0)</f>
        <v>24278</v>
      </c>
      <c r="K414" s="32">
        <f>ROUND(SUM(F416:F431)*0.15,0)</f>
        <v>45998</v>
      </c>
      <c r="L414" s="33">
        <f>ROUND(F433*0.15,0)</f>
        <v>16185</v>
      </c>
    </row>
    <row r="415" spans="1:12" x14ac:dyDescent="0.2">
      <c r="B415" s="2"/>
      <c r="C415" s="26"/>
      <c r="D415" s="10"/>
      <c r="E415" s="27"/>
      <c r="F415" s="28"/>
      <c r="G415" s="28"/>
      <c r="H415" s="29"/>
      <c r="I415" s="10"/>
      <c r="J415" s="30"/>
      <c r="K415" s="32"/>
      <c r="L415" s="33"/>
    </row>
    <row r="416" spans="1:12" x14ac:dyDescent="0.2">
      <c r="A416" s="55">
        <v>12</v>
      </c>
      <c r="B416" s="2" t="s">
        <v>54</v>
      </c>
      <c r="C416" s="26"/>
      <c r="D416" s="10"/>
      <c r="E416" s="27"/>
      <c r="F416" s="28">
        <f>(F396+F398+F400+F402+F404+F420+F422+F424+F427+F429+F431+F433)*0.2045</f>
        <v>97861.43</v>
      </c>
      <c r="G416" s="28"/>
      <c r="H416" s="29">
        <f>(+H396+H398+H400+H402+H404+H420+H422+H424+H427+H429+H431+H433)*0.2045</f>
        <v>97861.43</v>
      </c>
      <c r="I416" s="10"/>
      <c r="J416" s="30">
        <f>ROUND((SUM(F396:F404)*0.2045),0)</f>
        <v>33098</v>
      </c>
      <c r="K416" s="32">
        <f>ROUND((SUM(F420:F431)*0.2045),0)</f>
        <v>42698</v>
      </c>
      <c r="L416" s="33">
        <f>ROUND(F433*0.2045,0)</f>
        <v>22066</v>
      </c>
    </row>
    <row r="417" spans="1:12" x14ac:dyDescent="0.2">
      <c r="B417" s="2"/>
      <c r="C417" s="26"/>
      <c r="D417" s="10"/>
      <c r="E417" s="27"/>
      <c r="F417" s="28"/>
      <c r="G417" s="28"/>
      <c r="H417" s="29"/>
      <c r="I417" s="10"/>
      <c r="J417" s="30"/>
      <c r="K417" s="32"/>
      <c r="L417" s="33"/>
    </row>
    <row r="418" spans="1:12" x14ac:dyDescent="0.2">
      <c r="A418" s="55">
        <v>13</v>
      </c>
      <c r="B418" s="2" t="s">
        <v>55</v>
      </c>
      <c r="C418" s="26">
        <v>2000</v>
      </c>
      <c r="D418" s="10"/>
      <c r="E418" s="27"/>
      <c r="F418" s="28"/>
      <c r="G418" s="28">
        <f>E441*2000</f>
        <v>17000</v>
      </c>
      <c r="H418" s="29">
        <f>SUM(F418:G418)</f>
        <v>17000</v>
      </c>
      <c r="I418" s="10"/>
      <c r="J418" s="30">
        <f>(E396+E398+E400+E402+E404)*2000</f>
        <v>5000</v>
      </c>
      <c r="K418" s="32">
        <f>ROUND(SUM(E422:E431)*2000,0)</f>
        <v>8000</v>
      </c>
      <c r="L418" s="33">
        <f>ROUND(E433*2000,0)</f>
        <v>4000</v>
      </c>
    </row>
    <row r="419" spans="1:12" x14ac:dyDescent="0.2">
      <c r="B419" s="2"/>
      <c r="C419" s="26"/>
      <c r="D419" s="10"/>
      <c r="E419" s="27"/>
      <c r="F419" s="28"/>
      <c r="G419" s="28"/>
      <c r="H419" s="29"/>
      <c r="I419" s="10"/>
      <c r="J419" s="30"/>
      <c r="K419" s="32"/>
      <c r="L419" s="33"/>
    </row>
    <row r="420" spans="1:12" ht="30" x14ac:dyDescent="0.2">
      <c r="A420" s="55">
        <v>14</v>
      </c>
      <c r="B420" s="2" t="s">
        <v>56</v>
      </c>
      <c r="C420" s="26"/>
      <c r="D420" s="10"/>
      <c r="E420" s="27"/>
      <c r="F420" s="28">
        <f>(F427+F431+F433+F422)*0.05</f>
        <v>10790</v>
      </c>
      <c r="G420" s="28"/>
      <c r="H420" s="29">
        <f>SUM(F420:G420)</f>
        <v>10790</v>
      </c>
      <c r="I420" s="10"/>
      <c r="J420" s="30"/>
      <c r="K420" s="32">
        <f>ROUND((+F422+F427+F431)*0.05,0)</f>
        <v>5395</v>
      </c>
      <c r="L420" s="33">
        <f>ROUND(F433*0.05,0)</f>
        <v>5395</v>
      </c>
    </row>
    <row r="421" spans="1:12" x14ac:dyDescent="0.2">
      <c r="B421" s="2"/>
      <c r="C421" s="26"/>
      <c r="D421" s="10"/>
      <c r="E421" s="27"/>
      <c r="F421" s="28"/>
      <c r="G421" s="28"/>
      <c r="H421" s="29"/>
      <c r="I421" s="10"/>
      <c r="J421" s="30"/>
      <c r="K421" s="28"/>
      <c r="L421" s="29"/>
    </row>
    <row r="422" spans="1:12" x14ac:dyDescent="0.2">
      <c r="A422" s="55">
        <v>15</v>
      </c>
      <c r="B422" s="2" t="s">
        <v>57</v>
      </c>
      <c r="C422" s="26">
        <f>+F388</f>
        <v>59350</v>
      </c>
      <c r="D422" s="10"/>
      <c r="E422" s="27">
        <v>0</v>
      </c>
      <c r="F422" s="28">
        <f>F388*E422</f>
        <v>0</v>
      </c>
      <c r="G422" s="28"/>
      <c r="H422" s="29">
        <f>SUM(F422:G422)</f>
        <v>0</v>
      </c>
      <c r="I422" s="10"/>
      <c r="J422" s="27"/>
      <c r="K422" s="32">
        <f>ROUND(F422*((+E$49+E$51+E$53)/(E$49+E$51+E$53+E$55)),0)</f>
        <v>0</v>
      </c>
      <c r="L422" s="33">
        <f>ROUND((+F422*(E$55/(+E$49+E$51+E$53+E$55))),0)</f>
        <v>0</v>
      </c>
    </row>
    <row r="423" spans="1:12" x14ac:dyDescent="0.2">
      <c r="B423" s="2"/>
      <c r="C423" s="26"/>
      <c r="D423" s="10"/>
      <c r="E423" s="27"/>
      <c r="F423" s="28"/>
      <c r="G423" s="28"/>
      <c r="H423" s="29"/>
      <c r="I423" s="10"/>
      <c r="J423" s="30"/>
      <c r="K423" s="28"/>
      <c r="L423" s="29"/>
    </row>
    <row r="424" spans="1:12" x14ac:dyDescent="0.2">
      <c r="A424" s="55">
        <v>16</v>
      </c>
      <c r="B424" s="2" t="s">
        <v>58</v>
      </c>
      <c r="C424" s="26">
        <f>+F389</f>
        <v>36150</v>
      </c>
      <c r="D424" s="10"/>
      <c r="E424" s="27">
        <f>ROUND((E433+E431+E429+E427)/5,0)</f>
        <v>1</v>
      </c>
      <c r="F424" s="28">
        <f>F389*E424</f>
        <v>36150</v>
      </c>
      <c r="G424" s="28"/>
      <c r="H424" s="29">
        <f>SUM(F424:G424)</f>
        <v>36150</v>
      </c>
      <c r="I424" s="10"/>
      <c r="J424" s="30"/>
      <c r="K424" s="32">
        <f>ROUND(F424*((+E$49+E$51+E$53)/(E$49+E$51+E$53+E$55)),0)</f>
        <v>22772</v>
      </c>
      <c r="L424" s="33">
        <f>ROUND((+F424*(E$55/(+E$49+E$51+E$53+E$55))),0)</f>
        <v>13378</v>
      </c>
    </row>
    <row r="425" spans="1:12" x14ac:dyDescent="0.2">
      <c r="B425" s="2"/>
      <c r="C425" s="26"/>
      <c r="D425" s="10"/>
      <c r="E425" s="27"/>
      <c r="F425" s="28"/>
      <c r="G425" s="28"/>
      <c r="H425" s="29"/>
      <c r="I425" s="10"/>
      <c r="J425" s="30"/>
      <c r="K425" s="28"/>
      <c r="L425" s="29"/>
    </row>
    <row r="426" spans="1:12" ht="15.75" x14ac:dyDescent="0.25">
      <c r="A426" s="18" t="s">
        <v>59</v>
      </c>
      <c r="B426" s="2"/>
      <c r="C426" s="26"/>
      <c r="D426" s="10"/>
      <c r="E426" s="27"/>
      <c r="F426" s="28"/>
      <c r="G426" s="28"/>
      <c r="H426" s="29"/>
      <c r="I426" s="10"/>
      <c r="J426" s="30"/>
      <c r="K426" s="28"/>
      <c r="L426" s="29"/>
    </row>
    <row r="427" spans="1:12" x14ac:dyDescent="0.2">
      <c r="A427" s="36">
        <v>17</v>
      </c>
      <c r="B427" s="37" t="s">
        <v>60</v>
      </c>
      <c r="C427" s="38">
        <f>+F387</f>
        <v>53950</v>
      </c>
      <c r="D427" s="39"/>
      <c r="E427" s="40">
        <f>ROUND(C383/30,0)</f>
        <v>1</v>
      </c>
      <c r="F427" s="41">
        <f>F387*E427</f>
        <v>53950</v>
      </c>
      <c r="G427" s="41"/>
      <c r="H427" s="35">
        <f>SUM(F427:G427)</f>
        <v>53950</v>
      </c>
      <c r="I427" s="39"/>
      <c r="J427" s="42"/>
      <c r="K427" s="28">
        <f>F387*E427</f>
        <v>53950</v>
      </c>
      <c r="L427" s="29"/>
    </row>
    <row r="428" spans="1:12" x14ac:dyDescent="0.2">
      <c r="A428" s="37"/>
      <c r="B428" s="37"/>
      <c r="C428" s="26"/>
      <c r="D428" s="10"/>
      <c r="E428" s="27"/>
      <c r="F428" s="28"/>
      <c r="G428" s="28"/>
      <c r="H428" s="29"/>
      <c r="I428" s="10"/>
      <c r="J428" s="30"/>
      <c r="K428" s="28"/>
      <c r="L428" s="29"/>
    </row>
    <row r="429" spans="1:12" ht="30" x14ac:dyDescent="0.2">
      <c r="A429" s="36">
        <v>18</v>
      </c>
      <c r="B429" s="37" t="s">
        <v>61</v>
      </c>
      <c r="C429" s="26">
        <f>+F387</f>
        <v>53950</v>
      </c>
      <c r="D429" s="10"/>
      <c r="E429" s="27">
        <v>1</v>
      </c>
      <c r="F429" s="28">
        <f>F387*E429</f>
        <v>53950</v>
      </c>
      <c r="G429" s="28"/>
      <c r="H429" s="29">
        <f>SUM(F429:G429)</f>
        <v>53950</v>
      </c>
      <c r="I429" s="10"/>
      <c r="J429" s="30" t="s">
        <v>62</v>
      </c>
      <c r="K429" s="28">
        <f>ROUND(E429*F387,0)</f>
        <v>53950</v>
      </c>
      <c r="L429" s="29"/>
    </row>
    <row r="430" spans="1:12" x14ac:dyDescent="0.2">
      <c r="A430" s="37"/>
      <c r="B430" s="37"/>
      <c r="C430" s="26"/>
      <c r="D430" s="10"/>
      <c r="E430" s="27"/>
      <c r="F430" s="28"/>
      <c r="G430" s="28"/>
      <c r="H430" s="29"/>
      <c r="I430" s="10"/>
      <c r="J430" s="30"/>
      <c r="K430" s="28"/>
      <c r="L430" s="29"/>
    </row>
    <row r="431" spans="1:12" x14ac:dyDescent="0.2">
      <c r="A431" s="37">
        <v>19</v>
      </c>
      <c r="B431" s="37" t="s">
        <v>63</v>
      </c>
      <c r="C431" s="26">
        <f>+F387</f>
        <v>53950</v>
      </c>
      <c r="D431" s="10"/>
      <c r="E431" s="27">
        <f>ROUND(C383/20,0)</f>
        <v>1</v>
      </c>
      <c r="F431" s="28">
        <f>F387*E431</f>
        <v>53950</v>
      </c>
      <c r="G431" s="28"/>
      <c r="H431" s="29">
        <f>SUM(F431:G431)</f>
        <v>53950</v>
      </c>
      <c r="I431" s="10"/>
      <c r="J431" s="30"/>
      <c r="K431" s="28">
        <f>F387*E431</f>
        <v>53950</v>
      </c>
      <c r="L431" s="29"/>
    </row>
    <row r="432" spans="1:12" x14ac:dyDescent="0.2">
      <c r="A432" s="37"/>
      <c r="B432" s="37"/>
      <c r="C432" s="26"/>
      <c r="D432" s="10"/>
      <c r="E432" s="27"/>
      <c r="F432" s="28"/>
      <c r="G432" s="28"/>
      <c r="H432" s="29"/>
      <c r="I432" s="10"/>
      <c r="J432" s="30"/>
      <c r="K432" s="28"/>
      <c r="L432" s="29"/>
    </row>
    <row r="433" spans="1:12" x14ac:dyDescent="0.2">
      <c r="A433" s="37">
        <v>20</v>
      </c>
      <c r="B433" s="37" t="s">
        <v>64</v>
      </c>
      <c r="C433" s="26">
        <f>+F387</f>
        <v>53950</v>
      </c>
      <c r="D433" s="10"/>
      <c r="E433" s="27">
        <f>ROUND(C384/20,0)</f>
        <v>2</v>
      </c>
      <c r="F433" s="28">
        <f>F387*E433</f>
        <v>107900</v>
      </c>
      <c r="G433" s="28"/>
      <c r="H433" s="29">
        <f>SUM(F433:G433)</f>
        <v>107900</v>
      </c>
      <c r="I433" s="10"/>
      <c r="J433" s="30"/>
      <c r="K433" s="28"/>
      <c r="L433" s="29">
        <f>F387*E433</f>
        <v>107900</v>
      </c>
    </row>
    <row r="434" spans="1:12" x14ac:dyDescent="0.2">
      <c r="A434" s="37"/>
      <c r="B434" s="37"/>
      <c r="C434" s="26"/>
      <c r="D434" s="10"/>
      <c r="E434" s="27"/>
      <c r="F434" s="28"/>
      <c r="G434" s="28"/>
      <c r="H434" s="29"/>
      <c r="I434" s="10"/>
      <c r="J434" s="30"/>
      <c r="K434" s="28"/>
      <c r="L434" s="29"/>
    </row>
    <row r="435" spans="1:12" x14ac:dyDescent="0.2">
      <c r="A435" s="37">
        <v>21</v>
      </c>
      <c r="B435" s="37" t="s">
        <v>65</v>
      </c>
      <c r="C435" s="31"/>
      <c r="D435" s="43"/>
      <c r="E435" s="27"/>
      <c r="F435" s="28"/>
      <c r="G435" s="28">
        <f>ROUND(125*C382,0)</f>
        <v>56375</v>
      </c>
      <c r="H435" s="29">
        <f>SUM(F435:G435)</f>
        <v>56375</v>
      </c>
      <c r="I435" s="10"/>
      <c r="J435" s="30" t="s">
        <v>62</v>
      </c>
      <c r="K435" s="29">
        <f>ROUND(125/2*C382,0)</f>
        <v>28188</v>
      </c>
      <c r="L435" s="29">
        <f>ROUND(125/2*C382,0)</f>
        <v>28188</v>
      </c>
    </row>
    <row r="436" spans="1:12" x14ac:dyDescent="0.2">
      <c r="A436" s="37"/>
      <c r="B436" s="37"/>
      <c r="C436" s="26"/>
      <c r="D436" s="10"/>
      <c r="E436" s="27"/>
      <c r="F436" s="28"/>
      <c r="G436" s="28"/>
      <c r="H436" s="29"/>
      <c r="I436" s="10"/>
      <c r="J436" s="30"/>
      <c r="K436" s="28"/>
      <c r="L436" s="29"/>
    </row>
    <row r="437" spans="1:12" x14ac:dyDescent="0.2">
      <c r="A437" s="37">
        <v>22</v>
      </c>
      <c r="B437" s="37" t="s">
        <v>66</v>
      </c>
      <c r="C437" s="26">
        <v>10000</v>
      </c>
      <c r="D437" s="10"/>
      <c r="E437" s="27"/>
      <c r="F437" s="28"/>
      <c r="G437" s="28">
        <f>(E396+E422+E427+E429+E431+E433)*10000</f>
        <v>60000</v>
      </c>
      <c r="H437" s="29">
        <f>SUM(F437:G437)</f>
        <v>60000</v>
      </c>
      <c r="I437" s="10"/>
      <c r="J437" s="30">
        <f>ROUND(10000*E396,0)</f>
        <v>10000</v>
      </c>
      <c r="K437" s="32">
        <f>ROUND(10000*(+E431+E429+E427+E422),0)</f>
        <v>30000</v>
      </c>
      <c r="L437" s="33">
        <f>ROUND(10000*E433,0)</f>
        <v>20000</v>
      </c>
    </row>
    <row r="438" spans="1:12" x14ac:dyDescent="0.2">
      <c r="A438" s="37"/>
      <c r="B438" s="37"/>
      <c r="C438" s="26"/>
      <c r="D438" s="10"/>
      <c r="E438" s="27"/>
      <c r="F438" s="28"/>
      <c r="G438" s="28"/>
      <c r="H438" s="29"/>
      <c r="I438" s="10"/>
      <c r="J438" s="30"/>
      <c r="K438" s="32"/>
      <c r="L438" s="33"/>
    </row>
    <row r="439" spans="1:12" x14ac:dyDescent="0.2">
      <c r="A439" s="37">
        <v>23</v>
      </c>
      <c r="B439" s="37" t="s">
        <v>82</v>
      </c>
      <c r="C439" s="26"/>
      <c r="D439" s="10"/>
      <c r="E439" s="27"/>
      <c r="F439" s="28"/>
      <c r="G439" s="28">
        <v>13300</v>
      </c>
      <c r="H439" s="29">
        <f>+G439</f>
        <v>13300</v>
      </c>
      <c r="I439" s="10"/>
      <c r="J439" s="30"/>
      <c r="K439" s="32"/>
      <c r="L439" s="33">
        <f>+H439</f>
        <v>13300</v>
      </c>
    </row>
    <row r="440" spans="1:12" x14ac:dyDescent="0.2">
      <c r="B440" s="2"/>
      <c r="C440" s="26"/>
      <c r="D440" s="10"/>
      <c r="E440" s="27"/>
      <c r="F440" s="28"/>
      <c r="G440" s="28"/>
      <c r="H440" s="29"/>
      <c r="I440" s="10"/>
      <c r="J440" s="30"/>
      <c r="K440" s="28"/>
      <c r="L440" s="29"/>
    </row>
    <row r="441" spans="1:12" ht="15.75" x14ac:dyDescent="0.25">
      <c r="B441" s="3" t="s">
        <v>67</v>
      </c>
      <c r="C441" s="44"/>
      <c r="D441" s="10"/>
      <c r="E441" s="45">
        <f>SUM(E394:E437)</f>
        <v>8.5</v>
      </c>
      <c r="F441" s="46">
        <f>SUM(F394:F439)</f>
        <v>576401.42999999993</v>
      </c>
      <c r="G441" s="46">
        <f>SUM(G394:G439)</f>
        <v>366135</v>
      </c>
      <c r="H441" s="47">
        <f>SUM(H394:H440)</f>
        <v>942536.42999999993</v>
      </c>
      <c r="I441" s="10"/>
      <c r="J441" s="48">
        <f>SUM(J394:J439)</f>
        <v>367226</v>
      </c>
      <c r="K441" s="46">
        <f>SUM(K394:K440)</f>
        <v>344901</v>
      </c>
      <c r="L441" s="47">
        <f>SUM(L394:L440)</f>
        <v>230412</v>
      </c>
    </row>
    <row r="442" spans="1:12" x14ac:dyDescent="0.2">
      <c r="B442" s="49"/>
      <c r="J442" s="50"/>
      <c r="L442" s="50"/>
    </row>
    <row r="443" spans="1:12" x14ac:dyDescent="0.2">
      <c r="B443" s="49"/>
      <c r="J443" s="50"/>
      <c r="L443" s="50"/>
    </row>
    <row r="444" spans="1:12" x14ac:dyDescent="0.2">
      <c r="A444" s="37">
        <v>24</v>
      </c>
      <c r="B444" s="55" t="s">
        <v>68</v>
      </c>
      <c r="C444" s="8"/>
      <c r="D444" s="8"/>
      <c r="E444" s="11"/>
      <c r="L444" s="10">
        <f>+J441+K441+L441</f>
        <v>942539</v>
      </c>
    </row>
    <row r="445" spans="1:12" x14ac:dyDescent="0.2">
      <c r="A445" s="37">
        <v>25</v>
      </c>
      <c r="B445" s="55" t="s">
        <v>69</v>
      </c>
      <c r="C445" s="7"/>
      <c r="D445" s="7"/>
      <c r="E445" s="11"/>
      <c r="L445" s="10">
        <v>417405</v>
      </c>
    </row>
    <row r="446" spans="1:12" ht="15.75" x14ac:dyDescent="0.25">
      <c r="A446" s="37">
        <v>26</v>
      </c>
      <c r="B446" s="55" t="s">
        <v>182</v>
      </c>
      <c r="C446" s="7"/>
      <c r="D446" s="7"/>
      <c r="E446" s="11"/>
      <c r="J446" s="10" t="s">
        <v>62</v>
      </c>
      <c r="L446" s="51">
        <f>+L444-L445</f>
        <v>525134</v>
      </c>
    </row>
    <row r="447" spans="1:12" x14ac:dyDescent="0.2">
      <c r="B447" s="8"/>
      <c r="C447" s="7"/>
      <c r="D447" s="7"/>
      <c r="E447" s="11"/>
      <c r="J447" s="10"/>
      <c r="L447" s="10"/>
    </row>
    <row r="448" spans="1:12" ht="78.75" x14ac:dyDescent="0.25">
      <c r="B448" s="8"/>
      <c r="C448" s="7"/>
      <c r="D448" s="7"/>
      <c r="E448" s="11"/>
      <c r="J448" s="51" t="s">
        <v>71</v>
      </c>
      <c r="K448" s="52" t="s">
        <v>72</v>
      </c>
      <c r="L448" s="53" t="s">
        <v>73</v>
      </c>
    </row>
    <row r="449" spans="1:12" ht="15.75" x14ac:dyDescent="0.25">
      <c r="B449" s="8" t="s">
        <v>74</v>
      </c>
      <c r="C449" s="7"/>
      <c r="D449" s="7"/>
      <c r="E449" s="11"/>
      <c r="J449" s="10">
        <f>+J441+K441</f>
        <v>712127</v>
      </c>
      <c r="K449" s="10">
        <f>+L445</f>
        <v>417405</v>
      </c>
      <c r="L449" s="51">
        <f>+J449-K449</f>
        <v>294722</v>
      </c>
    </row>
    <row r="450" spans="1:12" ht="15.75" x14ac:dyDescent="0.25">
      <c r="B450" s="54" t="s">
        <v>75</v>
      </c>
      <c r="C450" s="7"/>
      <c r="D450" s="7"/>
      <c r="E450" s="11"/>
      <c r="J450" s="10">
        <f>+L441</f>
        <v>230412</v>
      </c>
      <c r="K450" s="10" t="s">
        <v>62</v>
      </c>
      <c r="L450" s="51">
        <f>+J450</f>
        <v>230412</v>
      </c>
    </row>
    <row r="453" spans="1:12" x14ac:dyDescent="0.2">
      <c r="A453" s="1" t="s">
        <v>23</v>
      </c>
      <c r="B453" s="2"/>
    </row>
    <row r="454" spans="1:12" ht="15.75" x14ac:dyDescent="0.25">
      <c r="A454" s="56" t="s">
        <v>24</v>
      </c>
      <c r="B454" s="3"/>
      <c r="C454" s="56" t="s">
        <v>186</v>
      </c>
    </row>
    <row r="455" spans="1:12" x14ac:dyDescent="0.2">
      <c r="A455" s="55" t="s">
        <v>26</v>
      </c>
      <c r="B455" s="2"/>
    </row>
    <row r="456" spans="1:12" x14ac:dyDescent="0.2">
      <c r="B456" s="2"/>
      <c r="C456" s="4"/>
      <c r="D456" s="4"/>
    </row>
    <row r="457" spans="1:12" x14ac:dyDescent="0.2">
      <c r="B457" s="2"/>
      <c r="C457" s="5"/>
      <c r="D457" s="5"/>
    </row>
    <row r="458" spans="1:12" ht="15.75" x14ac:dyDescent="0.25">
      <c r="A458" s="55" t="s">
        <v>27</v>
      </c>
      <c r="B458" s="2"/>
      <c r="C458" s="6">
        <v>1607</v>
      </c>
      <c r="D458" s="4"/>
      <c r="E458" s="7"/>
    </row>
    <row r="459" spans="1:12" ht="15.75" x14ac:dyDescent="0.25">
      <c r="A459" s="55" t="s">
        <v>28</v>
      </c>
      <c r="B459" s="2"/>
      <c r="C459" s="6">
        <f>C458*0.06</f>
        <v>96.42</v>
      </c>
      <c r="D459" s="4"/>
      <c r="E459" s="7"/>
    </row>
    <row r="460" spans="1:12" ht="15.75" x14ac:dyDescent="0.25">
      <c r="A460" s="55" t="s">
        <v>29</v>
      </c>
      <c r="B460" s="2"/>
      <c r="C460" s="6">
        <f>C458/3*0.2</f>
        <v>107.13333333333333</v>
      </c>
      <c r="D460" s="6"/>
      <c r="E460" s="7"/>
    </row>
    <row r="461" spans="1:12" ht="15.75" x14ac:dyDescent="0.25">
      <c r="B461" s="2" t="s">
        <v>30</v>
      </c>
      <c r="C461" s="6"/>
      <c r="D461" s="4"/>
      <c r="E461" s="7"/>
    </row>
    <row r="462" spans="1:12" x14ac:dyDescent="0.2">
      <c r="B462" s="2"/>
    </row>
    <row r="463" spans="1:12" x14ac:dyDescent="0.2">
      <c r="A463" s="7" t="s">
        <v>31</v>
      </c>
      <c r="B463" s="8"/>
      <c r="D463" s="9"/>
      <c r="F463" s="9">
        <v>53950</v>
      </c>
      <c r="H463" s="10"/>
      <c r="I463" s="10"/>
    </row>
    <row r="464" spans="1:12" x14ac:dyDescent="0.2">
      <c r="A464" s="7" t="s">
        <v>32</v>
      </c>
      <c r="B464" s="8"/>
      <c r="D464" s="9"/>
      <c r="F464" s="9">
        <v>59350</v>
      </c>
      <c r="H464" s="10"/>
      <c r="I464" s="10"/>
    </row>
    <row r="465" spans="1:12" x14ac:dyDescent="0.2">
      <c r="A465" s="7" t="s">
        <v>33</v>
      </c>
      <c r="B465" s="8"/>
      <c r="D465" s="9"/>
      <c r="F465" s="9">
        <v>36150</v>
      </c>
      <c r="H465" s="10"/>
      <c r="I465" s="10"/>
    </row>
    <row r="466" spans="1:12" x14ac:dyDescent="0.2">
      <c r="A466" s="7"/>
      <c r="B466" s="8"/>
      <c r="C466" s="11"/>
      <c r="D466" s="11"/>
      <c r="H466" s="10"/>
      <c r="I466" s="10"/>
    </row>
    <row r="467" spans="1:12" ht="15.75" x14ac:dyDescent="0.25">
      <c r="B467" s="2"/>
      <c r="J467" s="12" t="s">
        <v>34</v>
      </c>
      <c r="K467" s="412" t="s">
        <v>35</v>
      </c>
      <c r="L467" s="413"/>
    </row>
    <row r="468" spans="1:12" ht="31.5" x14ac:dyDescent="0.25">
      <c r="A468" s="56" t="s">
        <v>36</v>
      </c>
      <c r="B468" s="13"/>
      <c r="C468" s="14" t="s">
        <v>37</v>
      </c>
      <c r="D468" s="15"/>
      <c r="E468" s="12" t="s">
        <v>38</v>
      </c>
      <c r="F468" s="12" t="s">
        <v>39</v>
      </c>
      <c r="G468" s="12" t="s">
        <v>40</v>
      </c>
      <c r="H468" s="12" t="s">
        <v>0</v>
      </c>
      <c r="I468" s="16"/>
      <c r="J468" s="14" t="s">
        <v>41</v>
      </c>
      <c r="K468" s="17" t="s">
        <v>42</v>
      </c>
      <c r="L468" s="12" t="s">
        <v>43</v>
      </c>
    </row>
    <row r="469" spans="1:12" ht="15.75" x14ac:dyDescent="0.25">
      <c r="A469" s="18"/>
      <c r="B469" s="13"/>
      <c r="C469" s="19"/>
      <c r="D469" s="15"/>
      <c r="E469" s="20"/>
      <c r="F469" s="21"/>
      <c r="G469" s="21"/>
      <c r="H469" s="22"/>
      <c r="I469" s="16"/>
      <c r="J469" s="23"/>
      <c r="K469" s="24"/>
      <c r="L469" s="25"/>
    </row>
    <row r="470" spans="1:12" x14ac:dyDescent="0.2">
      <c r="A470" s="55">
        <v>1</v>
      </c>
      <c r="B470" s="2" t="s">
        <v>44</v>
      </c>
      <c r="C470" s="26">
        <v>50000</v>
      </c>
      <c r="D470" s="10"/>
      <c r="E470" s="27"/>
      <c r="F470" s="28"/>
      <c r="G470" s="28">
        <f>+C470</f>
        <v>50000</v>
      </c>
      <c r="H470" s="29">
        <f>SUM(F470+G470)</f>
        <v>50000</v>
      </c>
      <c r="I470" s="10"/>
      <c r="J470" s="30">
        <f>+H470</f>
        <v>50000</v>
      </c>
      <c r="K470" s="28"/>
      <c r="L470" s="29"/>
    </row>
    <row r="471" spans="1:12" x14ac:dyDescent="0.2">
      <c r="B471" s="2"/>
      <c r="C471" s="26"/>
      <c r="D471" s="10"/>
      <c r="E471" s="27"/>
      <c r="F471" s="28"/>
      <c r="G471" s="28"/>
      <c r="H471" s="29"/>
      <c r="I471" s="10"/>
      <c r="J471" s="30"/>
      <c r="K471" s="28"/>
      <c r="L471" s="29"/>
    </row>
    <row r="472" spans="1:12" x14ac:dyDescent="0.2">
      <c r="A472" s="55">
        <v>2</v>
      </c>
      <c r="B472" s="2" t="s">
        <v>45</v>
      </c>
      <c r="C472" s="26">
        <v>77000</v>
      </c>
      <c r="D472" s="10"/>
      <c r="E472" s="27">
        <v>1</v>
      </c>
      <c r="F472" s="28">
        <f>+C472*E472</f>
        <v>77000</v>
      </c>
      <c r="G472" s="28"/>
      <c r="H472" s="29">
        <f>SUM(F472+G472)</f>
        <v>77000</v>
      </c>
      <c r="I472" s="10"/>
      <c r="J472" s="30">
        <f>+H472</f>
        <v>77000</v>
      </c>
      <c r="K472" s="28"/>
      <c r="L472" s="29"/>
    </row>
    <row r="473" spans="1:12" x14ac:dyDescent="0.2">
      <c r="B473" s="2"/>
      <c r="C473" s="26"/>
      <c r="D473" s="10"/>
      <c r="E473" s="27"/>
      <c r="F473" s="28"/>
      <c r="G473" s="28"/>
      <c r="H473" s="29"/>
      <c r="I473" s="10"/>
      <c r="J473" s="30"/>
      <c r="K473" s="28"/>
      <c r="L473" s="29"/>
    </row>
    <row r="474" spans="1:12" ht="30" x14ac:dyDescent="0.2">
      <c r="A474" s="55">
        <v>3</v>
      </c>
      <c r="B474" s="2" t="s">
        <v>81</v>
      </c>
      <c r="C474" s="26">
        <f>+F464</f>
        <v>59350</v>
      </c>
      <c r="D474" s="10"/>
      <c r="E474" s="27">
        <v>1</v>
      </c>
      <c r="F474" s="28">
        <f>+C474*E474</f>
        <v>59350</v>
      </c>
      <c r="G474" s="28"/>
      <c r="H474" s="29">
        <f>SUM(F474+G474)</f>
        <v>59350</v>
      </c>
      <c r="I474" s="10"/>
      <c r="J474" s="30">
        <f>+H474</f>
        <v>59350</v>
      </c>
      <c r="K474" s="28"/>
      <c r="L474" s="29"/>
    </row>
    <row r="475" spans="1:12" x14ac:dyDescent="0.2">
      <c r="B475" s="2"/>
      <c r="C475" s="26"/>
      <c r="D475" s="10"/>
      <c r="E475" s="27"/>
      <c r="F475" s="28"/>
      <c r="G475" s="28"/>
      <c r="H475" s="29"/>
      <c r="I475" s="10"/>
      <c r="J475" s="30"/>
      <c r="K475" s="28"/>
      <c r="L475" s="29"/>
    </row>
    <row r="476" spans="1:12" x14ac:dyDescent="0.2">
      <c r="A476" s="55">
        <v>4</v>
      </c>
      <c r="B476" s="2" t="s">
        <v>46</v>
      </c>
      <c r="C476" s="26">
        <v>39300</v>
      </c>
      <c r="D476" s="10"/>
      <c r="E476" s="27">
        <v>1</v>
      </c>
      <c r="F476" s="28">
        <f>+C476*E476</f>
        <v>39300</v>
      </c>
      <c r="G476" s="28"/>
      <c r="H476" s="29">
        <f>SUM(F476+G476)</f>
        <v>39300</v>
      </c>
      <c r="I476" s="10"/>
      <c r="J476" s="30">
        <f>+H476</f>
        <v>39300</v>
      </c>
      <c r="K476" s="28"/>
      <c r="L476" s="29"/>
    </row>
    <row r="477" spans="1:12" x14ac:dyDescent="0.2">
      <c r="B477" s="2"/>
      <c r="C477" s="26"/>
      <c r="D477" s="10"/>
      <c r="E477" s="27"/>
      <c r="F477" s="28"/>
      <c r="G477" s="28"/>
      <c r="H477" s="29"/>
      <c r="I477" s="10"/>
      <c r="J477" s="30"/>
      <c r="K477" s="28"/>
      <c r="L477" s="29"/>
    </row>
    <row r="478" spans="1:12" x14ac:dyDescent="0.2">
      <c r="A478" s="55">
        <v>5</v>
      </c>
      <c r="B478" s="2" t="s">
        <v>47</v>
      </c>
      <c r="C478" s="26">
        <v>36000</v>
      </c>
      <c r="D478" s="10"/>
      <c r="E478" s="27">
        <v>1</v>
      </c>
      <c r="F478" s="28">
        <f>+C478*E478</f>
        <v>36000</v>
      </c>
      <c r="G478" s="28"/>
      <c r="H478" s="29">
        <f>SUM(F478+G478)</f>
        <v>36000</v>
      </c>
      <c r="I478" s="10"/>
      <c r="J478" s="30">
        <f>+H478</f>
        <v>36000</v>
      </c>
      <c r="K478" s="28"/>
      <c r="L478" s="29"/>
    </row>
    <row r="479" spans="1:12" x14ac:dyDescent="0.2">
      <c r="B479" s="2"/>
      <c r="C479" s="26"/>
      <c r="D479" s="10"/>
      <c r="E479" s="27"/>
      <c r="F479" s="28"/>
      <c r="G479" s="28"/>
      <c r="H479" s="29"/>
      <c r="I479" s="10"/>
      <c r="J479" s="30"/>
      <c r="K479" s="28"/>
      <c r="L479" s="29"/>
    </row>
    <row r="480" spans="1:12" x14ac:dyDescent="0.2">
      <c r="A480" s="55">
        <v>6</v>
      </c>
      <c r="B480" s="2" t="s">
        <v>48</v>
      </c>
      <c r="C480" s="26">
        <v>51000</v>
      </c>
      <c r="D480" s="10"/>
      <c r="E480" s="27">
        <v>1</v>
      </c>
      <c r="F480" s="28">
        <f>+C480*E480</f>
        <v>51000</v>
      </c>
      <c r="G480" s="28"/>
      <c r="H480" s="29">
        <f>SUM(F480+G480)</f>
        <v>51000</v>
      </c>
      <c r="I480" s="10"/>
      <c r="J480" s="30">
        <f>+H480</f>
        <v>51000</v>
      </c>
      <c r="K480" s="28"/>
      <c r="L480" s="29"/>
    </row>
    <row r="481" spans="1:12" x14ac:dyDescent="0.2">
      <c r="B481" s="2"/>
      <c r="C481" s="26"/>
      <c r="D481" s="10"/>
      <c r="E481" s="27"/>
      <c r="F481" s="28"/>
      <c r="G481" s="28"/>
      <c r="H481" s="29"/>
      <c r="I481" s="10"/>
      <c r="J481" s="30"/>
      <c r="K481" s="28"/>
      <c r="L481" s="29"/>
    </row>
    <row r="482" spans="1:12" x14ac:dyDescent="0.2">
      <c r="A482" s="55">
        <v>7</v>
      </c>
      <c r="B482" s="2" t="s">
        <v>49</v>
      </c>
      <c r="C482" s="31">
        <v>0</v>
      </c>
      <c r="D482" s="10"/>
      <c r="E482" s="27"/>
      <c r="F482" s="28"/>
      <c r="G482" s="32">
        <v>0</v>
      </c>
      <c r="H482" s="33">
        <v>0</v>
      </c>
      <c r="I482" s="10"/>
      <c r="J482" s="34">
        <f>+H482</f>
        <v>0</v>
      </c>
      <c r="K482" s="32">
        <v>0</v>
      </c>
      <c r="L482" s="33">
        <v>0</v>
      </c>
    </row>
    <row r="483" spans="1:12" x14ac:dyDescent="0.2">
      <c r="B483" s="2"/>
      <c r="C483" s="26"/>
      <c r="D483" s="10"/>
      <c r="E483" s="27"/>
      <c r="F483" s="28"/>
      <c r="G483" s="28"/>
      <c r="H483" s="29"/>
      <c r="I483" s="10"/>
      <c r="J483" s="30"/>
      <c r="K483" s="28"/>
      <c r="L483" s="29"/>
    </row>
    <row r="484" spans="1:12" x14ac:dyDescent="0.2">
      <c r="A484" s="55">
        <v>8</v>
      </c>
      <c r="B484" s="2" t="s">
        <v>50</v>
      </c>
      <c r="C484" s="26">
        <v>13000</v>
      </c>
      <c r="D484" s="10"/>
      <c r="E484" s="27"/>
      <c r="F484" s="28"/>
      <c r="G484" s="28">
        <f>+C484</f>
        <v>13000</v>
      </c>
      <c r="H484" s="29">
        <f>SUM(F484+G484)</f>
        <v>13000</v>
      </c>
      <c r="I484" s="10"/>
      <c r="J484" s="30">
        <f>+H484</f>
        <v>13000</v>
      </c>
      <c r="K484" s="28"/>
      <c r="L484" s="29"/>
    </row>
    <row r="485" spans="1:12" x14ac:dyDescent="0.2">
      <c r="B485" s="2"/>
      <c r="C485" s="26"/>
      <c r="D485" s="10"/>
      <c r="E485" s="27"/>
      <c r="F485" s="28"/>
      <c r="G485" s="28"/>
      <c r="H485" s="29"/>
      <c r="I485" s="10"/>
      <c r="J485" s="30"/>
      <c r="K485" s="28"/>
      <c r="L485" s="29"/>
    </row>
    <row r="486" spans="1:12" x14ac:dyDescent="0.2">
      <c r="A486" s="55">
        <v>9</v>
      </c>
      <c r="B486" s="2" t="s">
        <v>51</v>
      </c>
      <c r="C486" s="26">
        <v>30000</v>
      </c>
      <c r="D486" s="10"/>
      <c r="E486" s="27"/>
      <c r="F486" s="28"/>
      <c r="G486" s="28">
        <f>+C486</f>
        <v>30000</v>
      </c>
      <c r="H486" s="29">
        <f>SUM(F486+G486)</f>
        <v>30000</v>
      </c>
      <c r="I486" s="10"/>
      <c r="J486" s="30">
        <f>+H486</f>
        <v>30000</v>
      </c>
      <c r="K486" s="28"/>
      <c r="L486" s="29"/>
    </row>
    <row r="487" spans="1:12" x14ac:dyDescent="0.2">
      <c r="B487" s="2"/>
      <c r="C487" s="26"/>
      <c r="D487" s="10"/>
      <c r="E487" s="27"/>
      <c r="F487" s="28"/>
      <c r="G487" s="28"/>
      <c r="H487" s="29"/>
      <c r="I487" s="10"/>
      <c r="J487" s="30"/>
      <c r="K487" s="28"/>
      <c r="L487" s="29"/>
    </row>
    <row r="488" spans="1:12" x14ac:dyDescent="0.2">
      <c r="A488" s="55">
        <v>10</v>
      </c>
      <c r="B488" s="2" t="s">
        <v>52</v>
      </c>
      <c r="C488" s="26">
        <v>40000</v>
      </c>
      <c r="D488" s="10"/>
      <c r="E488" s="27"/>
      <c r="F488" s="28"/>
      <c r="G488" s="28">
        <f>+C488</f>
        <v>40000</v>
      </c>
      <c r="H488" s="29">
        <f>SUM(F488+G488)</f>
        <v>40000</v>
      </c>
      <c r="I488" s="10"/>
      <c r="J488" s="30">
        <f>+H488</f>
        <v>40000</v>
      </c>
      <c r="K488" s="28"/>
      <c r="L488" s="29"/>
    </row>
    <row r="489" spans="1:12" x14ac:dyDescent="0.2">
      <c r="B489" s="2"/>
      <c r="C489" s="26"/>
      <c r="D489" s="10"/>
      <c r="E489" s="27"/>
      <c r="F489" s="28"/>
      <c r="G489" s="28"/>
      <c r="H489" s="29"/>
      <c r="I489" s="10"/>
      <c r="J489" s="30"/>
      <c r="K489" s="28"/>
      <c r="L489" s="29"/>
    </row>
    <row r="490" spans="1:12" ht="30" x14ac:dyDescent="0.2">
      <c r="A490" s="55">
        <v>11</v>
      </c>
      <c r="B490" s="2" t="s">
        <v>53</v>
      </c>
      <c r="C490" s="26"/>
      <c r="D490" s="10"/>
      <c r="E490" s="27"/>
      <c r="F490" s="28"/>
      <c r="G490" s="28">
        <f>ROUND((F472+F474+F476+F478+F480+F492+F496+F498+F500+F503+F505+F507+F509)*0.15,0)</f>
        <v>243626</v>
      </c>
      <c r="H490" s="60">
        <f>SUM(F490+G490)</f>
        <v>243626</v>
      </c>
      <c r="I490" s="10"/>
      <c r="J490" s="30">
        <f>ROUND((SUM(F472:F480)*0.15),0)</f>
        <v>39398</v>
      </c>
      <c r="K490" s="32">
        <f>ROUND(SUM(F492:F507)*0.15,0)</f>
        <v>163766</v>
      </c>
      <c r="L490" s="33">
        <f>ROUND(F509*0.15,0)</f>
        <v>40463</v>
      </c>
    </row>
    <row r="491" spans="1:12" x14ac:dyDescent="0.2">
      <c r="B491" s="2"/>
      <c r="C491" s="26"/>
      <c r="D491" s="10"/>
      <c r="E491" s="27"/>
      <c r="F491" s="28"/>
      <c r="G491" s="28"/>
      <c r="H491" s="29"/>
      <c r="I491" s="10"/>
      <c r="J491" s="30"/>
      <c r="K491" s="32"/>
      <c r="L491" s="33"/>
    </row>
    <row r="492" spans="1:12" x14ac:dyDescent="0.2">
      <c r="A492" s="55">
        <v>12</v>
      </c>
      <c r="B492" s="2" t="s">
        <v>54</v>
      </c>
      <c r="C492" s="26"/>
      <c r="D492" s="10"/>
      <c r="E492" s="27"/>
      <c r="F492" s="28">
        <f>(F472+F474+F476+F478+F480+F496+F498+F500+F503+F505+F507+F509)*0.2045</f>
        <v>275751.88999999996</v>
      </c>
      <c r="G492" s="28"/>
      <c r="H492" s="29">
        <f>(+H472+H474+H476+H478+H480+H496+H498+H500+H503+H505+H507+H509)*0.2045</f>
        <v>275751.88999999996</v>
      </c>
      <c r="I492" s="10"/>
      <c r="J492" s="30">
        <f>ROUND((SUM(F472:F480)*0.2045),0)</f>
        <v>53712</v>
      </c>
      <c r="K492" s="32">
        <f>ROUND((SUM(F496:F507)*0.2045),0)</f>
        <v>166876</v>
      </c>
      <c r="L492" s="33">
        <f>ROUND(F509*0.2045,0)</f>
        <v>55164</v>
      </c>
    </row>
    <row r="493" spans="1:12" x14ac:dyDescent="0.2">
      <c r="B493" s="2"/>
      <c r="C493" s="26"/>
      <c r="D493" s="10"/>
      <c r="E493" s="27"/>
      <c r="F493" s="28"/>
      <c r="G493" s="28"/>
      <c r="H493" s="29"/>
      <c r="I493" s="10"/>
      <c r="J493" s="30"/>
      <c r="K493" s="32"/>
      <c r="L493" s="33"/>
    </row>
    <row r="494" spans="1:12" x14ac:dyDescent="0.2">
      <c r="A494" s="55">
        <v>13</v>
      </c>
      <c r="B494" s="2" t="s">
        <v>55</v>
      </c>
      <c r="C494" s="26">
        <v>2000</v>
      </c>
      <c r="D494" s="10"/>
      <c r="E494" s="27"/>
      <c r="F494" s="28"/>
      <c r="G494" s="28">
        <f>E517*2000</f>
        <v>50000</v>
      </c>
      <c r="H494" s="29">
        <f>SUM(F494:G494)</f>
        <v>50000</v>
      </c>
      <c r="I494" s="10"/>
      <c r="J494" s="30">
        <f>(E472+E474+E476+E478+E480)*2000</f>
        <v>10000</v>
      </c>
      <c r="K494" s="32">
        <f>ROUND(SUM(E498:E507)*2000,0)</f>
        <v>30000</v>
      </c>
      <c r="L494" s="33">
        <f>ROUND(E509*2000,0)</f>
        <v>10000</v>
      </c>
    </row>
    <row r="495" spans="1:12" x14ac:dyDescent="0.2">
      <c r="B495" s="2"/>
      <c r="C495" s="26"/>
      <c r="D495" s="10"/>
      <c r="E495" s="27"/>
      <c r="F495" s="28"/>
      <c r="G495" s="28"/>
      <c r="H495" s="29"/>
      <c r="I495" s="10"/>
      <c r="J495" s="30"/>
      <c r="K495" s="32"/>
      <c r="L495" s="33"/>
    </row>
    <row r="496" spans="1:12" ht="30" x14ac:dyDescent="0.2">
      <c r="A496" s="55">
        <v>14</v>
      </c>
      <c r="B496" s="2" t="s">
        <v>56</v>
      </c>
      <c r="C496" s="26"/>
      <c r="D496" s="10"/>
      <c r="E496" s="27"/>
      <c r="F496" s="28">
        <f>(F503+F507+F509+F498)*0.05</f>
        <v>43970</v>
      </c>
      <c r="G496" s="28"/>
      <c r="H496" s="29">
        <f>SUM(F496:G496)</f>
        <v>43970</v>
      </c>
      <c r="I496" s="10"/>
      <c r="J496" s="30"/>
      <c r="K496" s="32">
        <f>ROUND((+F498+F503+F507)*0.05,0)</f>
        <v>30483</v>
      </c>
      <c r="L496" s="33">
        <f>ROUND(F509*0.05,0)</f>
        <v>13488</v>
      </c>
    </row>
    <row r="497" spans="1:12" x14ac:dyDescent="0.2">
      <c r="B497" s="2"/>
      <c r="C497" s="26"/>
      <c r="D497" s="10"/>
      <c r="E497" s="27"/>
      <c r="F497" s="28"/>
      <c r="G497" s="28"/>
      <c r="H497" s="29"/>
      <c r="I497" s="10"/>
      <c r="J497" s="30"/>
      <c r="K497" s="28"/>
      <c r="L497" s="29"/>
    </row>
    <row r="498" spans="1:12" x14ac:dyDescent="0.2">
      <c r="A498" s="55">
        <v>15</v>
      </c>
      <c r="B498" s="2" t="s">
        <v>57</v>
      </c>
      <c r="C498" s="26">
        <f>+F464</f>
        <v>59350</v>
      </c>
      <c r="D498" s="10"/>
      <c r="E498" s="27">
        <f>ROUND((E509+E507+E505+E503+E500)/6,0)</f>
        <v>3</v>
      </c>
      <c r="F498" s="28">
        <f>F464*E498</f>
        <v>178050</v>
      </c>
      <c r="G498" s="28"/>
      <c r="H498" s="29">
        <f>SUM(F498:G498)</f>
        <v>178050</v>
      </c>
      <c r="I498" s="10"/>
      <c r="J498" s="27"/>
      <c r="K498" s="32">
        <f>ROUND(F498*((+E$49+E$51+E$53)/(E$49+E$51+E$53+E$55)),0)</f>
        <v>112157</v>
      </c>
      <c r="L498" s="33">
        <f>ROUND((+F498*(E$55/(+E$49+E$51+E$53+E$55))),0)</f>
        <v>65893</v>
      </c>
    </row>
    <row r="499" spans="1:12" x14ac:dyDescent="0.2">
      <c r="B499" s="2"/>
      <c r="C499" s="26"/>
      <c r="D499" s="10"/>
      <c r="E499" s="27"/>
      <c r="F499" s="28"/>
      <c r="G499" s="28"/>
      <c r="H499" s="29"/>
      <c r="I499" s="10"/>
      <c r="J499" s="30"/>
      <c r="K499" s="28"/>
      <c r="L499" s="29"/>
    </row>
    <row r="500" spans="1:12" x14ac:dyDescent="0.2">
      <c r="A500" s="55">
        <v>16</v>
      </c>
      <c r="B500" s="2" t="s">
        <v>58</v>
      </c>
      <c r="C500" s="26">
        <f>+F465</f>
        <v>36150</v>
      </c>
      <c r="D500" s="10"/>
      <c r="E500" s="27">
        <f>ROUND((E509+E507+E505+E503)/5,0)</f>
        <v>3</v>
      </c>
      <c r="F500" s="28">
        <f>F465*E500</f>
        <v>108450</v>
      </c>
      <c r="G500" s="28"/>
      <c r="H500" s="29">
        <f>SUM(F500:G500)</f>
        <v>108450</v>
      </c>
      <c r="I500" s="10"/>
      <c r="J500" s="30"/>
      <c r="K500" s="32">
        <f>ROUND(F500*((+E$49+E$51+E$53)/(E$49+E$51+E$53+E$55)),0)</f>
        <v>68315</v>
      </c>
      <c r="L500" s="33">
        <f>ROUND((+F500*(E$55/(+E$49+E$51+E$53+E$55))),0)</f>
        <v>40135</v>
      </c>
    </row>
    <row r="501" spans="1:12" x14ac:dyDescent="0.2">
      <c r="B501" s="2"/>
      <c r="C501" s="26"/>
      <c r="D501" s="10"/>
      <c r="E501" s="27"/>
      <c r="F501" s="28"/>
      <c r="G501" s="28"/>
      <c r="H501" s="29"/>
      <c r="I501" s="10"/>
      <c r="J501" s="30"/>
      <c r="K501" s="28"/>
      <c r="L501" s="29"/>
    </row>
    <row r="502" spans="1:12" ht="15.75" x14ac:dyDescent="0.25">
      <c r="A502" s="18" t="s">
        <v>59</v>
      </c>
      <c r="B502" s="2"/>
      <c r="C502" s="26"/>
      <c r="D502" s="10"/>
      <c r="E502" s="27"/>
      <c r="F502" s="28"/>
      <c r="G502" s="28"/>
      <c r="H502" s="29"/>
      <c r="I502" s="10"/>
      <c r="J502" s="30"/>
      <c r="K502" s="28"/>
      <c r="L502" s="29"/>
    </row>
    <row r="503" spans="1:12" x14ac:dyDescent="0.2">
      <c r="A503" s="36">
        <v>17</v>
      </c>
      <c r="B503" s="37" t="s">
        <v>60</v>
      </c>
      <c r="C503" s="38">
        <f>+F463</f>
        <v>53950</v>
      </c>
      <c r="D503" s="39"/>
      <c r="E503" s="40">
        <f>ROUND(C459/30,0)</f>
        <v>3</v>
      </c>
      <c r="F503" s="41">
        <f>F463*E503</f>
        <v>161850</v>
      </c>
      <c r="G503" s="41"/>
      <c r="H503" s="35">
        <f>SUM(F503:G503)</f>
        <v>161850</v>
      </c>
      <c r="I503" s="39"/>
      <c r="J503" s="42"/>
      <c r="K503" s="28">
        <f>F463*E503</f>
        <v>161850</v>
      </c>
      <c r="L503" s="29"/>
    </row>
    <row r="504" spans="1:12" x14ac:dyDescent="0.2">
      <c r="A504" s="37"/>
      <c r="B504" s="37"/>
      <c r="C504" s="26"/>
      <c r="D504" s="10"/>
      <c r="E504" s="27"/>
      <c r="F504" s="28"/>
      <c r="G504" s="28"/>
      <c r="H504" s="29"/>
      <c r="I504" s="10"/>
      <c r="J504" s="30"/>
      <c r="K504" s="28"/>
      <c r="L504" s="29"/>
    </row>
    <row r="505" spans="1:12" ht="30" x14ac:dyDescent="0.2">
      <c r="A505" s="36">
        <v>18</v>
      </c>
      <c r="B505" s="37" t="s">
        <v>61</v>
      </c>
      <c r="C505" s="26">
        <f>+F463</f>
        <v>53950</v>
      </c>
      <c r="D505" s="10"/>
      <c r="E505" s="27">
        <v>1</v>
      </c>
      <c r="F505" s="28">
        <f>F463*E505</f>
        <v>53950</v>
      </c>
      <c r="G505" s="28"/>
      <c r="H505" s="29">
        <f>SUM(F505:G505)</f>
        <v>53950</v>
      </c>
      <c r="I505" s="10"/>
      <c r="J505" s="30" t="s">
        <v>62</v>
      </c>
      <c r="K505" s="28">
        <f>ROUND(E505*F463,0)</f>
        <v>53950</v>
      </c>
      <c r="L505" s="29"/>
    </row>
    <row r="506" spans="1:12" x14ac:dyDescent="0.2">
      <c r="A506" s="37"/>
      <c r="B506" s="37"/>
      <c r="C506" s="26"/>
      <c r="D506" s="10"/>
      <c r="E506" s="27"/>
      <c r="F506" s="28"/>
      <c r="G506" s="28"/>
      <c r="H506" s="29"/>
      <c r="I506" s="10"/>
      <c r="J506" s="30"/>
      <c r="K506" s="28"/>
      <c r="L506" s="29"/>
    </row>
    <row r="507" spans="1:12" x14ac:dyDescent="0.2">
      <c r="A507" s="37">
        <v>19</v>
      </c>
      <c r="B507" s="37" t="s">
        <v>63</v>
      </c>
      <c r="C507" s="26">
        <f>+F463</f>
        <v>53950</v>
      </c>
      <c r="D507" s="10"/>
      <c r="E507" s="27">
        <f>ROUND(C459/20,0)</f>
        <v>5</v>
      </c>
      <c r="F507" s="28">
        <f>F463*E507</f>
        <v>269750</v>
      </c>
      <c r="G507" s="28"/>
      <c r="H507" s="29">
        <f>SUM(F507:G507)</f>
        <v>269750</v>
      </c>
      <c r="I507" s="10"/>
      <c r="J507" s="30"/>
      <c r="K507" s="28">
        <f>F463*E507</f>
        <v>269750</v>
      </c>
      <c r="L507" s="29"/>
    </row>
    <row r="508" spans="1:12" x14ac:dyDescent="0.2">
      <c r="A508" s="37"/>
      <c r="B508" s="37"/>
      <c r="C508" s="26"/>
      <c r="D508" s="10"/>
      <c r="E508" s="27"/>
      <c r="F508" s="28"/>
      <c r="G508" s="28"/>
      <c r="H508" s="29"/>
      <c r="I508" s="10"/>
      <c r="J508" s="30"/>
      <c r="K508" s="28"/>
      <c r="L508" s="29"/>
    </row>
    <row r="509" spans="1:12" x14ac:dyDescent="0.2">
      <c r="A509" s="37">
        <v>20</v>
      </c>
      <c r="B509" s="37" t="s">
        <v>64</v>
      </c>
      <c r="C509" s="26">
        <f>+F463</f>
        <v>53950</v>
      </c>
      <c r="D509" s="10"/>
      <c r="E509" s="27">
        <f>ROUND(C460/20,0)</f>
        <v>5</v>
      </c>
      <c r="F509" s="28">
        <f>F463*E509</f>
        <v>269750</v>
      </c>
      <c r="G509" s="28"/>
      <c r="H509" s="29">
        <f>SUM(F509:G509)</f>
        <v>269750</v>
      </c>
      <c r="I509" s="10"/>
      <c r="J509" s="30"/>
      <c r="K509" s="28"/>
      <c r="L509" s="29">
        <f>F463*E509</f>
        <v>269750</v>
      </c>
    </row>
    <row r="510" spans="1:12" x14ac:dyDescent="0.2">
      <c r="A510" s="37"/>
      <c r="B510" s="37"/>
      <c r="C510" s="26"/>
      <c r="D510" s="10"/>
      <c r="E510" s="27"/>
      <c r="F510" s="28"/>
      <c r="G510" s="28"/>
      <c r="H510" s="29"/>
      <c r="I510" s="10"/>
      <c r="J510" s="30"/>
      <c r="K510" s="28"/>
      <c r="L510" s="29"/>
    </row>
    <row r="511" spans="1:12" x14ac:dyDescent="0.2">
      <c r="A511" s="37">
        <v>21</v>
      </c>
      <c r="B511" s="37" t="s">
        <v>65</v>
      </c>
      <c r="C511" s="31"/>
      <c r="D511" s="43"/>
      <c r="E511" s="27"/>
      <c r="F511" s="28"/>
      <c r="G511" s="28">
        <f>ROUND(125*C458,0)</f>
        <v>200875</v>
      </c>
      <c r="H511" s="29">
        <f>SUM(F511:G511)</f>
        <v>200875</v>
      </c>
      <c r="I511" s="10"/>
      <c r="J511" s="30" t="s">
        <v>62</v>
      </c>
      <c r="K511" s="29">
        <f>ROUND(125/2*C458,0)</f>
        <v>100438</v>
      </c>
      <c r="L511" s="29">
        <f>ROUND(125/2*C458,0)</f>
        <v>100438</v>
      </c>
    </row>
    <row r="512" spans="1:12" x14ac:dyDescent="0.2">
      <c r="A512" s="37"/>
      <c r="B512" s="37"/>
      <c r="C512" s="26"/>
      <c r="D512" s="10"/>
      <c r="E512" s="27"/>
      <c r="F512" s="28"/>
      <c r="G512" s="28"/>
      <c r="H512" s="29"/>
      <c r="I512" s="10"/>
      <c r="J512" s="30"/>
      <c r="K512" s="28"/>
      <c r="L512" s="29"/>
    </row>
    <row r="513" spans="1:12" x14ac:dyDescent="0.2">
      <c r="A513" s="37">
        <v>22</v>
      </c>
      <c r="B513" s="37" t="s">
        <v>66</v>
      </c>
      <c r="C513" s="26">
        <v>10000</v>
      </c>
      <c r="D513" s="10"/>
      <c r="E513" s="27"/>
      <c r="F513" s="28"/>
      <c r="G513" s="28">
        <f>(E472+E498+E503+E505+E507+E509)*10000</f>
        <v>180000</v>
      </c>
      <c r="H513" s="29">
        <f>SUM(F513:G513)</f>
        <v>180000</v>
      </c>
      <c r="I513" s="10"/>
      <c r="J513" s="30">
        <f>ROUND(10000*E472,0)</f>
        <v>10000</v>
      </c>
      <c r="K513" s="32">
        <f>ROUND(10000*(+E507+E505+E503+E498),0)</f>
        <v>120000</v>
      </c>
      <c r="L513" s="33">
        <f>ROUND(10000*E509,0)</f>
        <v>50000</v>
      </c>
    </row>
    <row r="514" spans="1:12" x14ac:dyDescent="0.2">
      <c r="A514" s="37"/>
      <c r="B514" s="37"/>
      <c r="C514" s="26"/>
      <c r="D514" s="10"/>
      <c r="E514" s="27"/>
      <c r="F514" s="28"/>
      <c r="G514" s="28"/>
      <c r="H514" s="29"/>
      <c r="I514" s="10"/>
      <c r="J514" s="30"/>
      <c r="K514" s="32"/>
      <c r="L514" s="33"/>
    </row>
    <row r="515" spans="1:12" x14ac:dyDescent="0.2">
      <c r="A515" s="37">
        <v>23</v>
      </c>
      <c r="B515" s="37" t="s">
        <v>82</v>
      </c>
      <c r="C515" s="26"/>
      <c r="D515" s="10"/>
      <c r="E515" s="27"/>
      <c r="F515" s="28"/>
      <c r="G515" s="28">
        <v>23600</v>
      </c>
      <c r="H515" s="29">
        <f>+G515</f>
        <v>23600</v>
      </c>
      <c r="I515" s="10"/>
      <c r="J515" s="30"/>
      <c r="K515" s="32"/>
      <c r="L515" s="33">
        <f>+H515</f>
        <v>23600</v>
      </c>
    </row>
    <row r="516" spans="1:12" x14ac:dyDescent="0.2">
      <c r="B516" s="2"/>
      <c r="C516" s="26"/>
      <c r="D516" s="10"/>
      <c r="E516" s="27"/>
      <c r="F516" s="28"/>
      <c r="G516" s="28"/>
      <c r="H516" s="29"/>
      <c r="I516" s="10"/>
      <c r="J516" s="30"/>
      <c r="K516" s="28"/>
      <c r="L516" s="29"/>
    </row>
    <row r="517" spans="1:12" ht="15.75" x14ac:dyDescent="0.25">
      <c r="B517" s="3" t="s">
        <v>67</v>
      </c>
      <c r="C517" s="44"/>
      <c r="D517" s="10"/>
      <c r="E517" s="45">
        <f>SUM(E470:E513)</f>
        <v>25</v>
      </c>
      <c r="F517" s="46">
        <f>SUM(F470:F515)</f>
        <v>1624171.89</v>
      </c>
      <c r="G517" s="46">
        <f>SUM(G470:G515)</f>
        <v>831101</v>
      </c>
      <c r="H517" s="47">
        <f>SUM(H470:H516)</f>
        <v>2455272.8899999997</v>
      </c>
      <c r="I517" s="10"/>
      <c r="J517" s="48">
        <f>SUM(J470:J515)</f>
        <v>508760</v>
      </c>
      <c r="K517" s="46">
        <f>SUM(K470:K516)</f>
        <v>1277585</v>
      </c>
      <c r="L517" s="47">
        <f>SUM(L470:L516)</f>
        <v>668931</v>
      </c>
    </row>
    <row r="518" spans="1:12" x14ac:dyDescent="0.2">
      <c r="B518" s="49"/>
      <c r="J518" s="50"/>
      <c r="L518" s="50"/>
    </row>
    <row r="519" spans="1:12" x14ac:dyDescent="0.2">
      <c r="B519" s="49"/>
      <c r="J519" s="50"/>
      <c r="L519" s="50"/>
    </row>
    <row r="520" spans="1:12" x14ac:dyDescent="0.2">
      <c r="A520" s="37">
        <v>24</v>
      </c>
      <c r="B520" s="55" t="s">
        <v>68</v>
      </c>
      <c r="C520" s="8"/>
      <c r="D520" s="8"/>
      <c r="E520" s="11"/>
      <c r="L520" s="10">
        <f>+J517+K517+L517</f>
        <v>2455276</v>
      </c>
    </row>
    <row r="521" spans="1:12" x14ac:dyDescent="0.2">
      <c r="A521" s="37">
        <v>25</v>
      </c>
      <c r="B521" s="55" t="s">
        <v>69</v>
      </c>
      <c r="C521" s="7"/>
      <c r="D521" s="7"/>
      <c r="E521" s="11"/>
      <c r="L521" s="10">
        <v>1491331</v>
      </c>
    </row>
    <row r="522" spans="1:12" ht="15.75" x14ac:dyDescent="0.25">
      <c r="A522" s="37">
        <v>26</v>
      </c>
      <c r="B522" s="55" t="s">
        <v>182</v>
      </c>
      <c r="C522" s="7"/>
      <c r="D522" s="7"/>
      <c r="E522" s="11"/>
      <c r="J522" s="10" t="s">
        <v>62</v>
      </c>
      <c r="L522" s="51">
        <f>+L520-L521</f>
        <v>963945</v>
      </c>
    </row>
    <row r="523" spans="1:12" x14ac:dyDescent="0.2">
      <c r="B523" s="8"/>
      <c r="C523" s="7"/>
      <c r="D523" s="7"/>
      <c r="E523" s="11"/>
      <c r="J523" s="10"/>
      <c r="L523" s="10"/>
    </row>
    <row r="524" spans="1:12" ht="78.75" x14ac:dyDescent="0.25">
      <c r="B524" s="8"/>
      <c r="C524" s="7"/>
      <c r="D524" s="7"/>
      <c r="E524" s="11"/>
      <c r="J524" s="51" t="s">
        <v>71</v>
      </c>
      <c r="K524" s="52" t="s">
        <v>72</v>
      </c>
      <c r="L524" s="53" t="s">
        <v>73</v>
      </c>
    </row>
    <row r="525" spans="1:12" ht="15.75" x14ac:dyDescent="0.25">
      <c r="B525" s="8" t="s">
        <v>74</v>
      </c>
      <c r="C525" s="7"/>
      <c r="D525" s="7"/>
      <c r="E525" s="11"/>
      <c r="J525" s="10">
        <f>+J517+K517</f>
        <v>1786345</v>
      </c>
      <c r="K525" s="10">
        <f>+L521</f>
        <v>1491331</v>
      </c>
      <c r="L525" s="51">
        <f>+J525-K525</f>
        <v>295014</v>
      </c>
    </row>
    <row r="526" spans="1:12" ht="15.75" x14ac:dyDescent="0.25">
      <c r="B526" s="54" t="s">
        <v>75</v>
      </c>
      <c r="C526" s="7"/>
      <c r="D526" s="7"/>
      <c r="E526" s="11"/>
      <c r="J526" s="10">
        <f>+L517</f>
        <v>668931</v>
      </c>
      <c r="K526" s="10" t="s">
        <v>62</v>
      </c>
      <c r="L526" s="51">
        <f>+J526</f>
        <v>668931</v>
      </c>
    </row>
    <row r="529" spans="1:12" x14ac:dyDescent="0.2">
      <c r="A529" s="1" t="s">
        <v>23</v>
      </c>
      <c r="B529" s="2"/>
    </row>
    <row r="530" spans="1:12" ht="15.75" x14ac:dyDescent="0.25">
      <c r="A530" s="56" t="s">
        <v>24</v>
      </c>
      <c r="B530" s="3"/>
      <c r="C530" s="56" t="s">
        <v>187</v>
      </c>
    </row>
    <row r="531" spans="1:12" x14ac:dyDescent="0.2">
      <c r="A531" s="55" t="s">
        <v>26</v>
      </c>
      <c r="B531" s="2"/>
    </row>
    <row r="532" spans="1:12" x14ac:dyDescent="0.2">
      <c r="B532" s="2"/>
      <c r="C532" s="4"/>
      <c r="D532" s="4"/>
    </row>
    <row r="533" spans="1:12" x14ac:dyDescent="0.2">
      <c r="B533" s="2"/>
      <c r="C533" s="5"/>
      <c r="D533" s="5"/>
    </row>
    <row r="534" spans="1:12" ht="15.75" x14ac:dyDescent="0.25">
      <c r="A534" s="55" t="s">
        <v>27</v>
      </c>
      <c r="B534" s="2"/>
      <c r="C534" s="6">
        <v>2501</v>
      </c>
      <c r="D534" s="4"/>
      <c r="E534" s="7"/>
    </row>
    <row r="535" spans="1:12" ht="15.75" x14ac:dyDescent="0.25">
      <c r="A535" s="55" t="s">
        <v>28</v>
      </c>
      <c r="B535" s="2"/>
      <c r="C535" s="6">
        <f>C534*0.06</f>
        <v>150.06</v>
      </c>
      <c r="D535" s="4"/>
      <c r="E535" s="7"/>
    </row>
    <row r="536" spans="1:12" ht="15.75" x14ac:dyDescent="0.25">
      <c r="A536" s="55" t="s">
        <v>29</v>
      </c>
      <c r="B536" s="2"/>
      <c r="C536" s="6">
        <f>C534/3*0.2</f>
        <v>166.73333333333335</v>
      </c>
      <c r="D536" s="6"/>
      <c r="E536" s="7"/>
    </row>
    <row r="537" spans="1:12" ht="15.75" x14ac:dyDescent="0.25">
      <c r="B537" s="2" t="s">
        <v>30</v>
      </c>
      <c r="C537" s="6"/>
      <c r="D537" s="4"/>
      <c r="E537" s="7"/>
    </row>
    <row r="538" spans="1:12" x14ac:dyDescent="0.2">
      <c r="B538" s="2"/>
    </row>
    <row r="539" spans="1:12" x14ac:dyDescent="0.2">
      <c r="A539" s="7" t="s">
        <v>31</v>
      </c>
      <c r="B539" s="8"/>
      <c r="D539" s="9"/>
      <c r="F539" s="9">
        <v>53950</v>
      </c>
      <c r="H539" s="10"/>
      <c r="I539" s="10"/>
    </row>
    <row r="540" spans="1:12" x14ac:dyDescent="0.2">
      <c r="A540" s="7" t="s">
        <v>32</v>
      </c>
      <c r="B540" s="8"/>
      <c r="D540" s="9"/>
      <c r="F540" s="9">
        <v>59350</v>
      </c>
      <c r="H540" s="10"/>
      <c r="I540" s="10"/>
    </row>
    <row r="541" spans="1:12" x14ac:dyDescent="0.2">
      <c r="A541" s="7" t="s">
        <v>33</v>
      </c>
      <c r="B541" s="8"/>
      <c r="D541" s="9"/>
      <c r="F541" s="9">
        <v>36150</v>
      </c>
      <c r="H541" s="10"/>
      <c r="I541" s="10"/>
    </row>
    <row r="542" spans="1:12" x14ac:dyDescent="0.2">
      <c r="A542" s="7"/>
      <c r="B542" s="8"/>
      <c r="C542" s="11"/>
      <c r="D542" s="11"/>
      <c r="H542" s="10"/>
      <c r="I542" s="10"/>
    </row>
    <row r="543" spans="1:12" ht="15.75" x14ac:dyDescent="0.25">
      <c r="B543" s="2"/>
      <c r="J543" s="12" t="s">
        <v>34</v>
      </c>
      <c r="K543" s="412" t="s">
        <v>35</v>
      </c>
      <c r="L543" s="413"/>
    </row>
    <row r="544" spans="1:12" ht="31.5" x14ac:dyDescent="0.25">
      <c r="A544" s="56" t="s">
        <v>36</v>
      </c>
      <c r="B544" s="13"/>
      <c r="C544" s="14" t="s">
        <v>37</v>
      </c>
      <c r="D544" s="15"/>
      <c r="E544" s="12" t="s">
        <v>38</v>
      </c>
      <c r="F544" s="12" t="s">
        <v>39</v>
      </c>
      <c r="G544" s="12" t="s">
        <v>40</v>
      </c>
      <c r="H544" s="12" t="s">
        <v>0</v>
      </c>
      <c r="I544" s="16"/>
      <c r="J544" s="14" t="s">
        <v>41</v>
      </c>
      <c r="K544" s="17" t="s">
        <v>42</v>
      </c>
      <c r="L544" s="12" t="s">
        <v>43</v>
      </c>
    </row>
    <row r="545" spans="1:12" ht="15.75" x14ac:dyDescent="0.25">
      <c r="A545" s="18"/>
      <c r="B545" s="13"/>
      <c r="C545" s="19"/>
      <c r="D545" s="15"/>
      <c r="E545" s="20"/>
      <c r="F545" s="21"/>
      <c r="G545" s="21"/>
      <c r="H545" s="22"/>
      <c r="I545" s="16"/>
      <c r="J545" s="23"/>
      <c r="K545" s="24"/>
      <c r="L545" s="25"/>
    </row>
    <row r="546" spans="1:12" x14ac:dyDescent="0.2">
      <c r="A546" s="55">
        <v>1</v>
      </c>
      <c r="B546" s="2" t="s">
        <v>44</v>
      </c>
      <c r="C546" s="26">
        <v>50000</v>
      </c>
      <c r="D546" s="10"/>
      <c r="E546" s="27"/>
      <c r="F546" s="28"/>
      <c r="G546" s="28">
        <f>+C546</f>
        <v>50000</v>
      </c>
      <c r="H546" s="29">
        <f>SUM(F546+G546)</f>
        <v>50000</v>
      </c>
      <c r="I546" s="10"/>
      <c r="J546" s="30">
        <f>+H546</f>
        <v>50000</v>
      </c>
      <c r="K546" s="28"/>
      <c r="L546" s="29"/>
    </row>
    <row r="547" spans="1:12" x14ac:dyDescent="0.2">
      <c r="B547" s="2"/>
      <c r="C547" s="26"/>
      <c r="D547" s="10"/>
      <c r="E547" s="27"/>
      <c r="F547" s="28"/>
      <c r="G547" s="28"/>
      <c r="H547" s="29"/>
      <c r="I547" s="10"/>
      <c r="J547" s="30"/>
      <c r="K547" s="28"/>
      <c r="L547" s="29"/>
    </row>
    <row r="548" spans="1:12" x14ac:dyDescent="0.2">
      <c r="A548" s="55">
        <v>2</v>
      </c>
      <c r="B548" s="2" t="s">
        <v>45</v>
      </c>
      <c r="C548" s="26">
        <v>77000</v>
      </c>
      <c r="D548" s="10"/>
      <c r="E548" s="27">
        <v>1</v>
      </c>
      <c r="F548" s="28">
        <f>+C548*E548</f>
        <v>77000</v>
      </c>
      <c r="G548" s="28"/>
      <c r="H548" s="29">
        <f>SUM(F548+G548)</f>
        <v>77000</v>
      </c>
      <c r="I548" s="10"/>
      <c r="J548" s="30">
        <f>+H548</f>
        <v>77000</v>
      </c>
      <c r="K548" s="28"/>
      <c r="L548" s="29"/>
    </row>
    <row r="549" spans="1:12" x14ac:dyDescent="0.2">
      <c r="B549" s="2"/>
      <c r="C549" s="26"/>
      <c r="D549" s="10"/>
      <c r="E549" s="27"/>
      <c r="F549" s="28"/>
      <c r="G549" s="28"/>
      <c r="H549" s="29"/>
      <c r="I549" s="10"/>
      <c r="J549" s="30"/>
      <c r="K549" s="28"/>
      <c r="L549" s="29"/>
    </row>
    <row r="550" spans="1:12" ht="30" x14ac:dyDescent="0.2">
      <c r="A550" s="55">
        <v>3</v>
      </c>
      <c r="B550" s="2" t="s">
        <v>81</v>
      </c>
      <c r="C550" s="26">
        <f>+F540</f>
        <v>59350</v>
      </c>
      <c r="D550" s="10"/>
      <c r="E550" s="27">
        <v>1</v>
      </c>
      <c r="F550" s="28">
        <f>+C550*E550</f>
        <v>59350</v>
      </c>
      <c r="G550" s="28"/>
      <c r="H550" s="29">
        <f>SUM(F550+G550)</f>
        <v>59350</v>
      </c>
      <c r="I550" s="10"/>
      <c r="J550" s="30">
        <f>+H550</f>
        <v>59350</v>
      </c>
      <c r="K550" s="28"/>
      <c r="L550" s="29"/>
    </row>
    <row r="551" spans="1:12" x14ac:dyDescent="0.2">
      <c r="B551" s="2"/>
      <c r="C551" s="26"/>
      <c r="D551" s="10"/>
      <c r="E551" s="27"/>
      <c r="F551" s="28"/>
      <c r="G551" s="28"/>
      <c r="H551" s="29"/>
      <c r="I551" s="10"/>
      <c r="J551" s="30"/>
      <c r="K551" s="28"/>
      <c r="L551" s="29"/>
    </row>
    <row r="552" spans="1:12" x14ac:dyDescent="0.2">
      <c r="A552" s="55">
        <v>4</v>
      </c>
      <c r="B552" s="2" t="s">
        <v>46</v>
      </c>
      <c r="C552" s="26">
        <v>39300</v>
      </c>
      <c r="D552" s="10"/>
      <c r="E552" s="27">
        <v>1</v>
      </c>
      <c r="F552" s="28">
        <f>+C552*E552</f>
        <v>39300</v>
      </c>
      <c r="G552" s="28"/>
      <c r="H552" s="29">
        <f>SUM(F552+G552)</f>
        <v>39300</v>
      </c>
      <c r="I552" s="10"/>
      <c r="J552" s="30">
        <f>+H552</f>
        <v>39300</v>
      </c>
      <c r="K552" s="28"/>
      <c r="L552" s="29"/>
    </row>
    <row r="553" spans="1:12" x14ac:dyDescent="0.2">
      <c r="B553" s="2"/>
      <c r="C553" s="26"/>
      <c r="D553" s="10"/>
      <c r="E553" s="27"/>
      <c r="F553" s="28"/>
      <c r="G553" s="28"/>
      <c r="H553" s="29"/>
      <c r="I553" s="10"/>
      <c r="J553" s="30"/>
      <c r="K553" s="28"/>
      <c r="L553" s="29"/>
    </row>
    <row r="554" spans="1:12" x14ac:dyDescent="0.2">
      <c r="A554" s="55">
        <v>5</v>
      </c>
      <c r="B554" s="2" t="s">
        <v>47</v>
      </c>
      <c r="C554" s="26">
        <v>36000</v>
      </c>
      <c r="D554" s="10"/>
      <c r="E554" s="27">
        <v>1</v>
      </c>
      <c r="F554" s="28">
        <f>+C554*E554</f>
        <v>36000</v>
      </c>
      <c r="G554" s="28"/>
      <c r="H554" s="29">
        <f>SUM(F554+G554)</f>
        <v>36000</v>
      </c>
      <c r="I554" s="10"/>
      <c r="J554" s="30">
        <f>+H554</f>
        <v>36000</v>
      </c>
      <c r="K554" s="28"/>
      <c r="L554" s="29"/>
    </row>
    <row r="555" spans="1:12" x14ac:dyDescent="0.2">
      <c r="B555" s="2"/>
      <c r="C555" s="26"/>
      <c r="D555" s="10"/>
      <c r="E555" s="27"/>
      <c r="F555" s="28"/>
      <c r="G555" s="28"/>
      <c r="H555" s="29"/>
      <c r="I555" s="10"/>
      <c r="J555" s="30"/>
      <c r="K555" s="28"/>
      <c r="L555" s="29"/>
    </row>
    <row r="556" spans="1:12" x14ac:dyDescent="0.2">
      <c r="A556" s="55">
        <v>6</v>
      </c>
      <c r="B556" s="2" t="s">
        <v>48</v>
      </c>
      <c r="C556" s="26">
        <v>51000</v>
      </c>
      <c r="D556" s="10"/>
      <c r="E556" s="27">
        <v>1</v>
      </c>
      <c r="F556" s="28">
        <f>+C556*E556</f>
        <v>51000</v>
      </c>
      <c r="G556" s="28"/>
      <c r="H556" s="29">
        <f>SUM(F556+G556)</f>
        <v>51000</v>
      </c>
      <c r="I556" s="10"/>
      <c r="J556" s="30">
        <f>+H556</f>
        <v>51000</v>
      </c>
      <c r="K556" s="28"/>
      <c r="L556" s="29"/>
    </row>
    <row r="557" spans="1:12" x14ac:dyDescent="0.2">
      <c r="B557" s="2"/>
      <c r="C557" s="26"/>
      <c r="D557" s="10"/>
      <c r="E557" s="27"/>
      <c r="F557" s="28"/>
      <c r="G557" s="28"/>
      <c r="H557" s="29"/>
      <c r="I557" s="10"/>
      <c r="J557" s="30"/>
      <c r="K557" s="28"/>
      <c r="L557" s="29"/>
    </row>
    <row r="558" spans="1:12" x14ac:dyDescent="0.2">
      <c r="A558" s="55">
        <v>7</v>
      </c>
      <c r="B558" s="2" t="s">
        <v>49</v>
      </c>
      <c r="C558" s="31">
        <v>0</v>
      </c>
      <c r="D558" s="10"/>
      <c r="E558" s="27"/>
      <c r="F558" s="28"/>
      <c r="G558" s="32">
        <v>0</v>
      </c>
      <c r="H558" s="33">
        <v>0</v>
      </c>
      <c r="I558" s="10"/>
      <c r="J558" s="34">
        <f>+H558</f>
        <v>0</v>
      </c>
      <c r="K558" s="32">
        <v>0</v>
      </c>
      <c r="L558" s="33">
        <v>0</v>
      </c>
    </row>
    <row r="559" spans="1:12" x14ac:dyDescent="0.2">
      <c r="B559" s="2"/>
      <c r="C559" s="26"/>
      <c r="D559" s="10"/>
      <c r="E559" s="27"/>
      <c r="F559" s="28"/>
      <c r="G559" s="28"/>
      <c r="H559" s="29"/>
      <c r="I559" s="10"/>
      <c r="J559" s="30"/>
      <c r="K559" s="28"/>
      <c r="L559" s="29"/>
    </row>
    <row r="560" spans="1:12" x14ac:dyDescent="0.2">
      <c r="A560" s="55">
        <v>8</v>
      </c>
      <c r="B560" s="2" t="s">
        <v>50</v>
      </c>
      <c r="C560" s="26">
        <v>13000</v>
      </c>
      <c r="D560" s="10"/>
      <c r="E560" s="27"/>
      <c r="F560" s="28"/>
      <c r="G560" s="28">
        <f>+C560</f>
        <v>13000</v>
      </c>
      <c r="H560" s="29">
        <f>SUM(F560+G560)</f>
        <v>13000</v>
      </c>
      <c r="I560" s="10"/>
      <c r="J560" s="30">
        <f>+H560</f>
        <v>13000</v>
      </c>
      <c r="K560" s="28"/>
      <c r="L560" s="29"/>
    </row>
    <row r="561" spans="1:12" x14ac:dyDescent="0.2">
      <c r="B561" s="2"/>
      <c r="C561" s="26"/>
      <c r="D561" s="10"/>
      <c r="E561" s="27"/>
      <c r="F561" s="28"/>
      <c r="G561" s="28"/>
      <c r="H561" s="29"/>
      <c r="I561" s="10"/>
      <c r="J561" s="30"/>
      <c r="K561" s="28"/>
      <c r="L561" s="29"/>
    </row>
    <row r="562" spans="1:12" x14ac:dyDescent="0.2">
      <c r="A562" s="55">
        <v>9</v>
      </c>
      <c r="B562" s="2" t="s">
        <v>51</v>
      </c>
      <c r="C562" s="26">
        <v>30000</v>
      </c>
      <c r="D562" s="10"/>
      <c r="E562" s="27"/>
      <c r="F562" s="28"/>
      <c r="G562" s="28">
        <f>+C562</f>
        <v>30000</v>
      </c>
      <c r="H562" s="29">
        <f>SUM(F562+G562)</f>
        <v>30000</v>
      </c>
      <c r="I562" s="10"/>
      <c r="J562" s="30">
        <f>+H562</f>
        <v>30000</v>
      </c>
      <c r="K562" s="28"/>
      <c r="L562" s="29"/>
    </row>
    <row r="563" spans="1:12" x14ac:dyDescent="0.2">
      <c r="B563" s="2"/>
      <c r="C563" s="26"/>
      <c r="D563" s="10"/>
      <c r="E563" s="27"/>
      <c r="F563" s="28"/>
      <c r="G563" s="28"/>
      <c r="H563" s="29"/>
      <c r="I563" s="10"/>
      <c r="J563" s="30"/>
      <c r="K563" s="28"/>
      <c r="L563" s="29"/>
    </row>
    <row r="564" spans="1:12" x14ac:dyDescent="0.2">
      <c r="A564" s="55">
        <v>10</v>
      </c>
      <c r="B564" s="2" t="s">
        <v>52</v>
      </c>
      <c r="C564" s="26">
        <v>40000</v>
      </c>
      <c r="D564" s="10"/>
      <c r="E564" s="27"/>
      <c r="F564" s="28"/>
      <c r="G564" s="28">
        <f>+C564</f>
        <v>40000</v>
      </c>
      <c r="H564" s="29">
        <f>SUM(F564+G564)</f>
        <v>40000</v>
      </c>
      <c r="I564" s="10"/>
      <c r="J564" s="30">
        <f>+H564</f>
        <v>40000</v>
      </c>
      <c r="K564" s="28"/>
      <c r="L564" s="29"/>
    </row>
    <row r="565" spans="1:12" x14ac:dyDescent="0.2">
      <c r="B565" s="2"/>
      <c r="C565" s="26"/>
      <c r="D565" s="10"/>
      <c r="E565" s="27"/>
      <c r="F565" s="28"/>
      <c r="G565" s="28"/>
      <c r="H565" s="29"/>
      <c r="I565" s="10"/>
      <c r="J565" s="30"/>
      <c r="K565" s="28"/>
      <c r="L565" s="29"/>
    </row>
    <row r="566" spans="1:12" ht="30" x14ac:dyDescent="0.2">
      <c r="A566" s="55">
        <v>11</v>
      </c>
      <c r="B566" s="2" t="s">
        <v>53</v>
      </c>
      <c r="C566" s="26"/>
      <c r="D566" s="10"/>
      <c r="E566" s="27"/>
      <c r="F566" s="28"/>
      <c r="G566" s="28">
        <f>ROUND((F548+F550+F552+F554+F556+F568+F572+F574+F576+F579+F581+F583+F585)*0.15,0)</f>
        <v>343295</v>
      </c>
      <c r="H566" s="60">
        <f>SUM(F566+G566)</f>
        <v>343295</v>
      </c>
      <c r="I566" s="10"/>
      <c r="J566" s="30">
        <f>ROUND((SUM(F548:F556)*0.15),0)</f>
        <v>39398</v>
      </c>
      <c r="K566" s="32">
        <f>ROUND(SUM(F568:F583)*0.15,0)</f>
        <v>239157</v>
      </c>
      <c r="L566" s="33">
        <f>ROUND(F585*0.15,0)</f>
        <v>64740</v>
      </c>
    </row>
    <row r="567" spans="1:12" x14ac:dyDescent="0.2">
      <c r="B567" s="2"/>
      <c r="C567" s="26"/>
      <c r="D567" s="10"/>
      <c r="E567" s="27"/>
      <c r="F567" s="28"/>
      <c r="G567" s="28"/>
      <c r="H567" s="29"/>
      <c r="I567" s="10"/>
      <c r="J567" s="30"/>
      <c r="K567" s="32"/>
      <c r="L567" s="33"/>
    </row>
    <row r="568" spans="1:12" x14ac:dyDescent="0.2">
      <c r="A568" s="55">
        <v>12</v>
      </c>
      <c r="B568" s="2" t="s">
        <v>54</v>
      </c>
      <c r="C568" s="26"/>
      <c r="D568" s="10"/>
      <c r="E568" s="27"/>
      <c r="F568" s="28">
        <f>(F548+F550+F552+F554+F556+F572+F574+F576+F579+F581+F583+F585)*0.2045</f>
        <v>388563.80374999996</v>
      </c>
      <c r="G568" s="28"/>
      <c r="H568" s="29">
        <f>(+H548+H550+H552+H554+H556+H572+H574+H576+H579+H581+H583+H585)*0.2045</f>
        <v>388563.80374999996</v>
      </c>
      <c r="I568" s="10"/>
      <c r="J568" s="30">
        <f>ROUND((SUM(F548:F556)*0.2045),0)</f>
        <v>53712</v>
      </c>
      <c r="K568" s="32">
        <f>ROUND((SUM(F572:F583)*0.2045),0)</f>
        <v>246590</v>
      </c>
      <c r="L568" s="33">
        <f>ROUND(F585*0.2045,0)</f>
        <v>88262</v>
      </c>
    </row>
    <row r="569" spans="1:12" x14ac:dyDescent="0.2">
      <c r="B569" s="2"/>
      <c r="C569" s="26"/>
      <c r="D569" s="10"/>
      <c r="E569" s="27"/>
      <c r="F569" s="28"/>
      <c r="G569" s="28"/>
      <c r="H569" s="29"/>
      <c r="I569" s="10"/>
      <c r="J569" s="30"/>
      <c r="K569" s="32"/>
      <c r="L569" s="33"/>
    </row>
    <row r="570" spans="1:12" x14ac:dyDescent="0.2">
      <c r="A570" s="55">
        <v>13</v>
      </c>
      <c r="B570" s="2" t="s">
        <v>55</v>
      </c>
      <c r="C570" s="26">
        <v>2000</v>
      </c>
      <c r="D570" s="10"/>
      <c r="E570" s="27"/>
      <c r="F570" s="28"/>
      <c r="G570" s="28">
        <f>E593*2000</f>
        <v>70000</v>
      </c>
      <c r="H570" s="29">
        <f>SUM(F570:G570)</f>
        <v>70000</v>
      </c>
      <c r="I570" s="10"/>
      <c r="J570" s="30">
        <f>(E548+E550+E552+E554+E556)*2000</f>
        <v>10000</v>
      </c>
      <c r="K570" s="32">
        <f>ROUND(SUM(E574:E583)*2000,0)</f>
        <v>44000</v>
      </c>
      <c r="L570" s="33">
        <f>ROUND(E585*2000,0)</f>
        <v>16000</v>
      </c>
    </row>
    <row r="571" spans="1:12" x14ac:dyDescent="0.2">
      <c r="B571" s="2"/>
      <c r="C571" s="26"/>
      <c r="D571" s="10"/>
      <c r="E571" s="27"/>
      <c r="F571" s="28"/>
      <c r="G571" s="28"/>
      <c r="H571" s="29"/>
      <c r="I571" s="10"/>
      <c r="J571" s="30"/>
      <c r="K571" s="32"/>
      <c r="L571" s="33"/>
    </row>
    <row r="572" spans="1:12" ht="30" x14ac:dyDescent="0.2">
      <c r="A572" s="55">
        <v>14</v>
      </c>
      <c r="B572" s="2" t="s">
        <v>56</v>
      </c>
      <c r="C572" s="26"/>
      <c r="D572" s="10"/>
      <c r="E572" s="27"/>
      <c r="F572" s="28">
        <f>(F579+F583+F585+F574)*0.05</f>
        <v>68517.5</v>
      </c>
      <c r="G572" s="28"/>
      <c r="H572" s="29">
        <f>SUM(F572:G572)</f>
        <v>68517.5</v>
      </c>
      <c r="I572" s="10"/>
      <c r="J572" s="30"/>
      <c r="K572" s="32">
        <f>ROUND((+F574+F579+F583)*0.05,0)</f>
        <v>46938</v>
      </c>
      <c r="L572" s="33">
        <f>ROUND(F585*0.05,0)</f>
        <v>21580</v>
      </c>
    </row>
    <row r="573" spans="1:12" x14ac:dyDescent="0.2">
      <c r="B573" s="2"/>
      <c r="C573" s="26"/>
      <c r="D573" s="10"/>
      <c r="E573" s="27"/>
      <c r="F573" s="28"/>
      <c r="G573" s="28"/>
      <c r="H573" s="29"/>
      <c r="I573" s="10"/>
      <c r="J573" s="30"/>
      <c r="K573" s="28"/>
      <c r="L573" s="29"/>
    </row>
    <row r="574" spans="1:12" x14ac:dyDescent="0.2">
      <c r="A574" s="55">
        <v>15</v>
      </c>
      <c r="B574" s="2" t="s">
        <v>57</v>
      </c>
      <c r="C574" s="26">
        <f>+F540</f>
        <v>59350</v>
      </c>
      <c r="D574" s="10"/>
      <c r="E574" s="27">
        <f>ROUND((E585+E583+E581+E579+E576)/6,0)</f>
        <v>4</v>
      </c>
      <c r="F574" s="28">
        <f>F540*E574</f>
        <v>237400</v>
      </c>
      <c r="G574" s="28"/>
      <c r="H574" s="29">
        <f>SUM(F574:G574)</f>
        <v>237400</v>
      </c>
      <c r="I574" s="10"/>
      <c r="J574" s="27"/>
      <c r="K574" s="32">
        <f>ROUND(F574*((+E$49+E$51+E$53)/(E$49+E$51+E$53+E$55)),0)</f>
        <v>149543</v>
      </c>
      <c r="L574" s="33">
        <f>ROUND((+F574*(E$55/(+E$49+E$51+E$53+E$55))),0)</f>
        <v>87857</v>
      </c>
    </row>
    <row r="575" spans="1:12" x14ac:dyDescent="0.2">
      <c r="B575" s="2"/>
      <c r="C575" s="26"/>
      <c r="D575" s="10"/>
      <c r="E575" s="27"/>
      <c r="F575" s="28"/>
      <c r="G575" s="28"/>
      <c r="H575" s="29"/>
      <c r="I575" s="10"/>
      <c r="J575" s="30"/>
      <c r="K575" s="28"/>
      <c r="L575" s="29"/>
    </row>
    <row r="576" spans="1:12" x14ac:dyDescent="0.2">
      <c r="A576" s="55">
        <v>16</v>
      </c>
      <c r="B576" s="2" t="s">
        <v>58</v>
      </c>
      <c r="C576" s="26">
        <f>+F541</f>
        <v>36150</v>
      </c>
      <c r="D576" s="10"/>
      <c r="E576" s="27">
        <f>ROUND((E585+E583+E581+E579)/5,0)</f>
        <v>4</v>
      </c>
      <c r="F576" s="28">
        <f>F541*E576</f>
        <v>144600</v>
      </c>
      <c r="G576" s="28"/>
      <c r="H576" s="29">
        <f>SUM(F576:G576)</f>
        <v>144600</v>
      </c>
      <c r="I576" s="10"/>
      <c r="J576" s="30"/>
      <c r="K576" s="32">
        <f>ROUND(F576*((+E$49+E$51+E$53)/(E$49+E$51+E$53+E$55)),0)</f>
        <v>91087</v>
      </c>
      <c r="L576" s="33">
        <f>ROUND((+F576*(E$55/(+E$49+E$51+E$53+E$55))),0)</f>
        <v>53513</v>
      </c>
    </row>
    <row r="577" spans="1:12" x14ac:dyDescent="0.2">
      <c r="B577" s="2"/>
      <c r="C577" s="26"/>
      <c r="D577" s="10"/>
      <c r="E577" s="27"/>
      <c r="F577" s="28"/>
      <c r="G577" s="28"/>
      <c r="H577" s="29"/>
      <c r="I577" s="10"/>
      <c r="J577" s="30"/>
      <c r="K577" s="28"/>
      <c r="L577" s="29"/>
    </row>
    <row r="578" spans="1:12" ht="15.75" x14ac:dyDescent="0.25">
      <c r="A578" s="18" t="s">
        <v>59</v>
      </c>
      <c r="B578" s="2"/>
      <c r="C578" s="26"/>
      <c r="D578" s="10"/>
      <c r="E578" s="27"/>
      <c r="F578" s="28"/>
      <c r="G578" s="28"/>
      <c r="H578" s="29"/>
      <c r="I578" s="10"/>
      <c r="J578" s="30"/>
      <c r="K578" s="28"/>
      <c r="L578" s="29"/>
    </row>
    <row r="579" spans="1:12" x14ac:dyDescent="0.2">
      <c r="A579" s="36">
        <v>17</v>
      </c>
      <c r="B579" s="37" t="s">
        <v>60</v>
      </c>
      <c r="C579" s="38">
        <f>+F539</f>
        <v>53950</v>
      </c>
      <c r="D579" s="39"/>
      <c r="E579" s="40">
        <f>ROUND(C535/30,0)</f>
        <v>5</v>
      </c>
      <c r="F579" s="41">
        <f>F539*E579</f>
        <v>269750</v>
      </c>
      <c r="G579" s="41"/>
      <c r="H579" s="35">
        <f>SUM(F579:G579)</f>
        <v>269750</v>
      </c>
      <c r="I579" s="39"/>
      <c r="J579" s="42"/>
      <c r="K579" s="28">
        <f>F539*E579</f>
        <v>269750</v>
      </c>
      <c r="L579" s="29"/>
    </row>
    <row r="580" spans="1:12" x14ac:dyDescent="0.2">
      <c r="A580" s="37"/>
      <c r="B580" s="37"/>
      <c r="C580" s="26"/>
      <c r="D580" s="10"/>
      <c r="E580" s="27"/>
      <c r="F580" s="28"/>
      <c r="G580" s="28"/>
      <c r="H580" s="29"/>
      <c r="I580" s="10"/>
      <c r="J580" s="30"/>
      <c r="K580" s="28"/>
      <c r="L580" s="29"/>
    </row>
    <row r="581" spans="1:12" ht="30" x14ac:dyDescent="0.2">
      <c r="A581" s="36">
        <v>18</v>
      </c>
      <c r="B581" s="37" t="s">
        <v>61</v>
      </c>
      <c r="C581" s="26">
        <f>+F539</f>
        <v>53950</v>
      </c>
      <c r="D581" s="10"/>
      <c r="E581" s="27">
        <v>1</v>
      </c>
      <c r="F581" s="28">
        <f>F539*E581</f>
        <v>53950</v>
      </c>
      <c r="G581" s="28"/>
      <c r="H581" s="29">
        <f>SUM(F581:G581)</f>
        <v>53950</v>
      </c>
      <c r="I581" s="10"/>
      <c r="J581" s="30" t="s">
        <v>62</v>
      </c>
      <c r="K581" s="28">
        <f>ROUND(E581*F539,0)</f>
        <v>53950</v>
      </c>
      <c r="L581" s="29"/>
    </row>
    <row r="582" spans="1:12" x14ac:dyDescent="0.2">
      <c r="A582" s="37"/>
      <c r="B582" s="37"/>
      <c r="C582" s="26"/>
      <c r="D582" s="10"/>
      <c r="E582" s="27"/>
      <c r="F582" s="28"/>
      <c r="G582" s="28"/>
      <c r="H582" s="29"/>
      <c r="I582" s="10"/>
      <c r="J582" s="30"/>
      <c r="K582" s="28"/>
      <c r="L582" s="29"/>
    </row>
    <row r="583" spans="1:12" x14ac:dyDescent="0.2">
      <c r="A583" s="37">
        <v>19</v>
      </c>
      <c r="B583" s="37" t="s">
        <v>63</v>
      </c>
      <c r="C583" s="26">
        <f>+F539</f>
        <v>53950</v>
      </c>
      <c r="D583" s="10"/>
      <c r="E583" s="27">
        <f>ROUND(C535/20,0)</f>
        <v>8</v>
      </c>
      <c r="F583" s="28">
        <f>F539*E583</f>
        <v>431600</v>
      </c>
      <c r="G583" s="28"/>
      <c r="H583" s="29">
        <f>SUM(F583:G583)</f>
        <v>431600</v>
      </c>
      <c r="I583" s="10"/>
      <c r="J583" s="30"/>
      <c r="K583" s="28">
        <f>F539*E583</f>
        <v>431600</v>
      </c>
      <c r="L583" s="29"/>
    </row>
    <row r="584" spans="1:12" x14ac:dyDescent="0.2">
      <c r="A584" s="37"/>
      <c r="B584" s="37"/>
      <c r="C584" s="26"/>
      <c r="D584" s="10"/>
      <c r="E584" s="27"/>
      <c r="F584" s="28"/>
      <c r="G584" s="28"/>
      <c r="H584" s="29"/>
      <c r="I584" s="10"/>
      <c r="J584" s="30"/>
      <c r="K584" s="28"/>
      <c r="L584" s="29"/>
    </row>
    <row r="585" spans="1:12" x14ac:dyDescent="0.2">
      <c r="A585" s="37">
        <v>20</v>
      </c>
      <c r="B585" s="37" t="s">
        <v>64</v>
      </c>
      <c r="C585" s="26">
        <f>+F539</f>
        <v>53950</v>
      </c>
      <c r="D585" s="10"/>
      <c r="E585" s="27">
        <f>ROUND(C536/20,0)</f>
        <v>8</v>
      </c>
      <c r="F585" s="28">
        <f>F539*E585</f>
        <v>431600</v>
      </c>
      <c r="G585" s="28"/>
      <c r="H585" s="29">
        <f>SUM(F585:G585)</f>
        <v>431600</v>
      </c>
      <c r="I585" s="10"/>
      <c r="J585" s="30"/>
      <c r="K585" s="28"/>
      <c r="L585" s="29">
        <f>F539*E585</f>
        <v>431600</v>
      </c>
    </row>
    <row r="586" spans="1:12" x14ac:dyDescent="0.2">
      <c r="A586" s="37"/>
      <c r="B586" s="37"/>
      <c r="C586" s="26"/>
      <c r="D586" s="10"/>
      <c r="E586" s="27"/>
      <c r="F586" s="28"/>
      <c r="G586" s="28"/>
      <c r="H586" s="29"/>
      <c r="I586" s="10"/>
      <c r="J586" s="30"/>
      <c r="K586" s="28"/>
      <c r="L586" s="29"/>
    </row>
    <row r="587" spans="1:12" x14ac:dyDescent="0.2">
      <c r="A587" s="37">
        <v>21</v>
      </c>
      <c r="B587" s="37" t="s">
        <v>65</v>
      </c>
      <c r="C587" s="31"/>
      <c r="D587" s="43"/>
      <c r="E587" s="27"/>
      <c r="F587" s="28"/>
      <c r="G587" s="28">
        <f>ROUND(125*C534,0)</f>
        <v>312625</v>
      </c>
      <c r="H587" s="29">
        <f>SUM(F587:G587)</f>
        <v>312625</v>
      </c>
      <c r="I587" s="10"/>
      <c r="J587" s="30" t="s">
        <v>62</v>
      </c>
      <c r="K587" s="29">
        <f>ROUND(125/2*C534,0)</f>
        <v>156313</v>
      </c>
      <c r="L587" s="29">
        <f>ROUND(125/2*C534,0)</f>
        <v>156313</v>
      </c>
    </row>
    <row r="588" spans="1:12" x14ac:dyDescent="0.2">
      <c r="A588" s="37"/>
      <c r="B588" s="37"/>
      <c r="C588" s="26"/>
      <c r="D588" s="10"/>
      <c r="E588" s="27"/>
      <c r="F588" s="28"/>
      <c r="G588" s="28"/>
      <c r="H588" s="29"/>
      <c r="I588" s="10"/>
      <c r="J588" s="30"/>
      <c r="K588" s="28"/>
      <c r="L588" s="29"/>
    </row>
    <row r="589" spans="1:12" x14ac:dyDescent="0.2">
      <c r="A589" s="37">
        <v>22</v>
      </c>
      <c r="B589" s="37" t="s">
        <v>66</v>
      </c>
      <c r="C589" s="26">
        <v>10000</v>
      </c>
      <c r="D589" s="10"/>
      <c r="E589" s="27"/>
      <c r="F589" s="28"/>
      <c r="G589" s="28">
        <f>((E548+E574+E579+E581+E583+E585)*10000)+60000</f>
        <v>330000</v>
      </c>
      <c r="H589" s="29">
        <f>SUM(F589:G589)</f>
        <v>330000</v>
      </c>
      <c r="I589" s="10"/>
      <c r="J589" s="30">
        <f>ROUND(10000*E548,0)</f>
        <v>10000</v>
      </c>
      <c r="K589" s="32">
        <f>(ROUND(10000*(+E583+E581+E579+E574),0))+60000</f>
        <v>240000</v>
      </c>
      <c r="L589" s="33">
        <f>ROUND(10000*E585,0)</f>
        <v>80000</v>
      </c>
    </row>
    <row r="590" spans="1:12" x14ac:dyDescent="0.2">
      <c r="A590" s="37"/>
      <c r="B590" s="37"/>
      <c r="C590" s="26"/>
      <c r="D590" s="10"/>
      <c r="E590" s="27"/>
      <c r="F590" s="28"/>
      <c r="G590" s="28"/>
      <c r="H590" s="29"/>
      <c r="I590" s="10"/>
      <c r="J590" s="30"/>
      <c r="K590" s="32"/>
      <c r="L590" s="33"/>
    </row>
    <row r="591" spans="1:12" x14ac:dyDescent="0.2">
      <c r="A591" s="37">
        <v>23</v>
      </c>
      <c r="B591" s="37" t="s">
        <v>82</v>
      </c>
      <c r="C591" s="26"/>
      <c r="D591" s="10"/>
      <c r="E591" s="27"/>
      <c r="F591" s="28"/>
      <c r="G591" s="28">
        <v>230000</v>
      </c>
      <c r="H591" s="29">
        <f>+G591</f>
        <v>230000</v>
      </c>
      <c r="I591" s="10"/>
      <c r="J591" s="30"/>
      <c r="K591" s="32"/>
      <c r="L591" s="33">
        <f>+H591</f>
        <v>230000</v>
      </c>
    </row>
    <row r="592" spans="1:12" x14ac:dyDescent="0.2">
      <c r="B592" s="2"/>
      <c r="C592" s="26"/>
      <c r="D592" s="10"/>
      <c r="E592" s="27"/>
      <c r="F592" s="28"/>
      <c r="G592" s="28"/>
      <c r="H592" s="29"/>
      <c r="I592" s="10"/>
      <c r="J592" s="30"/>
      <c r="K592" s="28"/>
      <c r="L592" s="29"/>
    </row>
    <row r="593" spans="1:12" ht="15.75" x14ac:dyDescent="0.25">
      <c r="B593" s="3" t="s">
        <v>67</v>
      </c>
      <c r="C593" s="44"/>
      <c r="D593" s="10"/>
      <c r="E593" s="45">
        <f>SUM(E546:E589)</f>
        <v>35</v>
      </c>
      <c r="F593" s="46">
        <f>SUM(F546:F591)</f>
        <v>2288631.30375</v>
      </c>
      <c r="G593" s="46">
        <f>SUM(G546:G591)</f>
        <v>1418920</v>
      </c>
      <c r="H593" s="47">
        <f>SUM(H546:H592)</f>
        <v>3707551.30375</v>
      </c>
      <c r="I593" s="10"/>
      <c r="J593" s="48">
        <f>SUM(J546:J591)</f>
        <v>508760</v>
      </c>
      <c r="K593" s="46">
        <f>SUM(K546:K592)</f>
        <v>1968928</v>
      </c>
      <c r="L593" s="47">
        <f>SUM(L546:L592)</f>
        <v>1229865</v>
      </c>
    </row>
    <row r="594" spans="1:12" x14ac:dyDescent="0.2">
      <c r="B594" s="49"/>
      <c r="J594" s="50"/>
      <c r="L594" s="50"/>
    </row>
    <row r="595" spans="1:12" x14ac:dyDescent="0.2">
      <c r="B595" s="49"/>
      <c r="J595" s="50"/>
      <c r="L595" s="50"/>
    </row>
    <row r="596" spans="1:12" x14ac:dyDescent="0.2">
      <c r="A596" s="37">
        <v>24</v>
      </c>
      <c r="B596" s="55" t="s">
        <v>68</v>
      </c>
      <c r="C596" s="8"/>
      <c r="D596" s="8"/>
      <c r="E596" s="11"/>
      <c r="L596" s="10">
        <f>+J593+K593+L593</f>
        <v>3707553</v>
      </c>
    </row>
    <row r="597" spans="1:12" x14ac:dyDescent="0.2">
      <c r="A597" s="37">
        <v>25</v>
      </c>
      <c r="B597" s="55" t="s">
        <v>69</v>
      </c>
      <c r="C597" s="7"/>
      <c r="D597" s="7"/>
      <c r="E597" s="11"/>
      <c r="L597" s="10">
        <v>2200048</v>
      </c>
    </row>
    <row r="598" spans="1:12" ht="15.75" x14ac:dyDescent="0.25">
      <c r="A598" s="37">
        <v>26</v>
      </c>
      <c r="B598" s="55" t="s">
        <v>182</v>
      </c>
      <c r="C598" s="7"/>
      <c r="D598" s="7"/>
      <c r="E598" s="11"/>
      <c r="J598" s="10" t="s">
        <v>62</v>
      </c>
      <c r="L598" s="51">
        <f>+L596-L597</f>
        <v>1507505</v>
      </c>
    </row>
    <row r="599" spans="1:12" x14ac:dyDescent="0.2">
      <c r="B599" s="8"/>
      <c r="C599" s="7"/>
      <c r="D599" s="7"/>
      <c r="E599" s="11"/>
      <c r="J599" s="10"/>
      <c r="L599" s="10"/>
    </row>
    <row r="600" spans="1:12" ht="78.75" x14ac:dyDescent="0.25">
      <c r="B600" s="8"/>
      <c r="C600" s="7"/>
      <c r="D600" s="7"/>
      <c r="E600" s="11"/>
      <c r="J600" s="51" t="s">
        <v>71</v>
      </c>
      <c r="K600" s="52" t="s">
        <v>72</v>
      </c>
      <c r="L600" s="53" t="s">
        <v>73</v>
      </c>
    </row>
    <row r="601" spans="1:12" ht="15.75" x14ac:dyDescent="0.25">
      <c r="B601" s="8" t="s">
        <v>74</v>
      </c>
      <c r="C601" s="7"/>
      <c r="D601" s="7"/>
      <c r="E601" s="11"/>
      <c r="J601" s="10">
        <f>+J593+K593</f>
        <v>2477688</v>
      </c>
      <c r="K601" s="10">
        <f>+L597</f>
        <v>2200048</v>
      </c>
      <c r="L601" s="51">
        <f>+J601-K601</f>
        <v>277640</v>
      </c>
    </row>
    <row r="602" spans="1:12" ht="15.75" x14ac:dyDescent="0.25">
      <c r="B602" s="54" t="s">
        <v>75</v>
      </c>
      <c r="C602" s="7"/>
      <c r="D602" s="7"/>
      <c r="E602" s="11"/>
      <c r="J602" s="10">
        <f>+L593</f>
        <v>1229865</v>
      </c>
      <c r="K602" s="10" t="s">
        <v>62</v>
      </c>
      <c r="L602" s="51">
        <f>+J602</f>
        <v>1229865</v>
      </c>
    </row>
    <row r="605" spans="1:12" x14ac:dyDescent="0.2">
      <c r="A605" s="1" t="s">
        <v>23</v>
      </c>
      <c r="B605" s="2"/>
    </row>
    <row r="606" spans="1:12" ht="15.75" x14ac:dyDescent="0.25">
      <c r="A606" s="56" t="s">
        <v>24</v>
      </c>
      <c r="B606" s="3"/>
      <c r="C606" s="56" t="s">
        <v>188</v>
      </c>
    </row>
    <row r="607" spans="1:12" x14ac:dyDescent="0.2">
      <c r="A607" s="55" t="s">
        <v>26</v>
      </c>
      <c r="B607" s="2"/>
    </row>
    <row r="608" spans="1:12" x14ac:dyDescent="0.2">
      <c r="B608" s="2"/>
      <c r="C608" s="4"/>
      <c r="D608" s="4"/>
    </row>
    <row r="609" spans="1:12" x14ac:dyDescent="0.2">
      <c r="B609" s="2"/>
      <c r="C609" s="5"/>
      <c r="D609" s="5"/>
    </row>
    <row r="610" spans="1:12" ht="15.75" x14ac:dyDescent="0.25">
      <c r="A610" s="55" t="s">
        <v>27</v>
      </c>
      <c r="B610" s="2"/>
      <c r="C610" s="6">
        <v>2969</v>
      </c>
      <c r="D610" s="4"/>
      <c r="E610" s="7"/>
    </row>
    <row r="611" spans="1:12" ht="15.75" x14ac:dyDescent="0.25">
      <c r="A611" s="55" t="s">
        <v>28</v>
      </c>
      <c r="B611" s="2"/>
      <c r="C611" s="6">
        <f>C610*0.06</f>
        <v>178.14</v>
      </c>
      <c r="D611" s="4"/>
      <c r="E611" s="7"/>
    </row>
    <row r="612" spans="1:12" ht="15.75" x14ac:dyDescent="0.25">
      <c r="A612" s="55" t="s">
        <v>29</v>
      </c>
      <c r="B612" s="2"/>
      <c r="C612" s="6">
        <f>C610/3*0.2</f>
        <v>197.93333333333334</v>
      </c>
      <c r="D612" s="6"/>
      <c r="E612" s="7"/>
    </row>
    <row r="613" spans="1:12" ht="15.75" x14ac:dyDescent="0.25">
      <c r="B613" s="2" t="s">
        <v>30</v>
      </c>
      <c r="C613" s="6"/>
      <c r="D613" s="4"/>
      <c r="E613" s="7"/>
    </row>
    <row r="614" spans="1:12" x14ac:dyDescent="0.2">
      <c r="B614" s="2"/>
    </row>
    <row r="615" spans="1:12" x14ac:dyDescent="0.2">
      <c r="A615" s="7" t="s">
        <v>31</v>
      </c>
      <c r="B615" s="8"/>
      <c r="D615" s="9"/>
      <c r="F615" s="9">
        <v>53950</v>
      </c>
      <c r="H615" s="10"/>
      <c r="I615" s="10"/>
    </row>
    <row r="616" spans="1:12" x14ac:dyDescent="0.2">
      <c r="A616" s="7" t="s">
        <v>32</v>
      </c>
      <c r="B616" s="8"/>
      <c r="D616" s="9"/>
      <c r="F616" s="9">
        <v>59350</v>
      </c>
      <c r="H616" s="10"/>
      <c r="I616" s="10"/>
    </row>
    <row r="617" spans="1:12" x14ac:dyDescent="0.2">
      <c r="A617" s="7" t="s">
        <v>33</v>
      </c>
      <c r="B617" s="8"/>
      <c r="D617" s="9"/>
      <c r="F617" s="9">
        <v>36150</v>
      </c>
      <c r="H617" s="10"/>
      <c r="I617" s="10"/>
    </row>
    <row r="618" spans="1:12" x14ac:dyDescent="0.2">
      <c r="A618" s="7"/>
      <c r="B618" s="8"/>
      <c r="C618" s="11"/>
      <c r="D618" s="11"/>
      <c r="H618" s="10"/>
      <c r="I618" s="10"/>
    </row>
    <row r="619" spans="1:12" ht="15.75" x14ac:dyDescent="0.25">
      <c r="B619" s="2"/>
      <c r="J619" s="12" t="s">
        <v>34</v>
      </c>
      <c r="K619" s="412" t="s">
        <v>35</v>
      </c>
      <c r="L619" s="413"/>
    </row>
    <row r="620" spans="1:12" ht="31.5" x14ac:dyDescent="0.25">
      <c r="A620" s="56" t="s">
        <v>36</v>
      </c>
      <c r="B620" s="13"/>
      <c r="C620" s="14" t="s">
        <v>37</v>
      </c>
      <c r="D620" s="15"/>
      <c r="E620" s="12" t="s">
        <v>38</v>
      </c>
      <c r="F620" s="12" t="s">
        <v>39</v>
      </c>
      <c r="G620" s="12" t="s">
        <v>40</v>
      </c>
      <c r="H620" s="12" t="s">
        <v>0</v>
      </c>
      <c r="I620" s="16"/>
      <c r="J620" s="14" t="s">
        <v>41</v>
      </c>
      <c r="K620" s="17" t="s">
        <v>42</v>
      </c>
      <c r="L620" s="12" t="s">
        <v>43</v>
      </c>
    </row>
    <row r="621" spans="1:12" ht="15.75" x14ac:dyDescent="0.25">
      <c r="A621" s="18"/>
      <c r="B621" s="13"/>
      <c r="C621" s="19"/>
      <c r="D621" s="15"/>
      <c r="E621" s="20"/>
      <c r="F621" s="21"/>
      <c r="G621" s="21"/>
      <c r="H621" s="22"/>
      <c r="I621" s="16"/>
      <c r="J621" s="23"/>
      <c r="K621" s="24"/>
      <c r="L621" s="25"/>
    </row>
    <row r="622" spans="1:12" x14ac:dyDescent="0.2">
      <c r="A622" s="55">
        <v>1</v>
      </c>
      <c r="B622" s="2" t="s">
        <v>44</v>
      </c>
      <c r="C622" s="26">
        <v>50000</v>
      </c>
      <c r="D622" s="10"/>
      <c r="E622" s="27"/>
      <c r="F622" s="28"/>
      <c r="G622" s="28">
        <f>+C622</f>
        <v>50000</v>
      </c>
      <c r="H622" s="29">
        <f>SUM(F622+G622)</f>
        <v>50000</v>
      </c>
      <c r="I622" s="10"/>
      <c r="J622" s="30">
        <f>+H622</f>
        <v>50000</v>
      </c>
      <c r="K622" s="28"/>
      <c r="L622" s="29"/>
    </row>
    <row r="623" spans="1:12" x14ac:dyDescent="0.2">
      <c r="B623" s="2"/>
      <c r="C623" s="26"/>
      <c r="D623" s="10"/>
      <c r="E623" s="27"/>
      <c r="F623" s="28"/>
      <c r="G623" s="28"/>
      <c r="H623" s="29"/>
      <c r="I623" s="10"/>
      <c r="J623" s="30"/>
      <c r="K623" s="28"/>
      <c r="L623" s="29"/>
    </row>
    <row r="624" spans="1:12" x14ac:dyDescent="0.2">
      <c r="A624" s="55">
        <v>2</v>
      </c>
      <c r="B624" s="2" t="s">
        <v>45</v>
      </c>
      <c r="C624" s="26">
        <v>77000</v>
      </c>
      <c r="D624" s="10"/>
      <c r="E624" s="27">
        <v>1</v>
      </c>
      <c r="F624" s="28">
        <f>+C624*E624</f>
        <v>77000</v>
      </c>
      <c r="G624" s="28"/>
      <c r="H624" s="29">
        <f>SUM(F624+G624)</f>
        <v>77000</v>
      </c>
      <c r="I624" s="10"/>
      <c r="J624" s="30">
        <f>+H624</f>
        <v>77000</v>
      </c>
      <c r="K624" s="28"/>
      <c r="L624" s="29"/>
    </row>
    <row r="625" spans="1:12" x14ac:dyDescent="0.2">
      <c r="B625" s="2"/>
      <c r="C625" s="26"/>
      <c r="D625" s="10"/>
      <c r="E625" s="27"/>
      <c r="F625" s="28"/>
      <c r="G625" s="28"/>
      <c r="H625" s="29"/>
      <c r="I625" s="10"/>
      <c r="J625" s="30"/>
      <c r="K625" s="28"/>
      <c r="L625" s="29"/>
    </row>
    <row r="626" spans="1:12" ht="30" x14ac:dyDescent="0.2">
      <c r="A626" s="55">
        <v>3</v>
      </c>
      <c r="B626" s="2" t="s">
        <v>81</v>
      </c>
      <c r="C626" s="26">
        <f>+F616</f>
        <v>59350</v>
      </c>
      <c r="D626" s="10"/>
      <c r="E626" s="27">
        <v>1</v>
      </c>
      <c r="F626" s="28">
        <f>+C626*E626</f>
        <v>59350</v>
      </c>
      <c r="G626" s="28"/>
      <c r="H626" s="29">
        <f>SUM(F626+G626)</f>
        <v>59350</v>
      </c>
      <c r="I626" s="10"/>
      <c r="J626" s="30">
        <f>+H626</f>
        <v>59350</v>
      </c>
      <c r="K626" s="28"/>
      <c r="L626" s="29"/>
    </row>
    <row r="627" spans="1:12" x14ac:dyDescent="0.2">
      <c r="B627" s="2"/>
      <c r="C627" s="26"/>
      <c r="D627" s="10"/>
      <c r="E627" s="27"/>
      <c r="F627" s="28"/>
      <c r="G627" s="28"/>
      <c r="H627" s="29"/>
      <c r="I627" s="10"/>
      <c r="J627" s="30"/>
      <c r="K627" s="28"/>
      <c r="L627" s="29"/>
    </row>
    <row r="628" spans="1:12" x14ac:dyDescent="0.2">
      <c r="A628" s="55">
        <v>4</v>
      </c>
      <c r="B628" s="2" t="s">
        <v>46</v>
      </c>
      <c r="C628" s="26">
        <v>39300</v>
      </c>
      <c r="D628" s="10"/>
      <c r="E628" s="27">
        <v>1</v>
      </c>
      <c r="F628" s="28">
        <f>+C628*E628</f>
        <v>39300</v>
      </c>
      <c r="G628" s="28"/>
      <c r="H628" s="29">
        <f>SUM(F628+G628)</f>
        <v>39300</v>
      </c>
      <c r="I628" s="10"/>
      <c r="J628" s="30">
        <f>+H628</f>
        <v>39300</v>
      </c>
      <c r="K628" s="28"/>
      <c r="L628" s="29"/>
    </row>
    <row r="629" spans="1:12" x14ac:dyDescent="0.2">
      <c r="B629" s="2"/>
      <c r="C629" s="26"/>
      <c r="D629" s="10"/>
      <c r="E629" s="27"/>
      <c r="F629" s="28"/>
      <c r="G629" s="28"/>
      <c r="H629" s="29"/>
      <c r="I629" s="10"/>
      <c r="J629" s="30"/>
      <c r="K629" s="28"/>
      <c r="L629" s="29"/>
    </row>
    <row r="630" spans="1:12" x14ac:dyDescent="0.2">
      <c r="A630" s="55">
        <v>5</v>
      </c>
      <c r="B630" s="2" t="s">
        <v>47</v>
      </c>
      <c r="C630" s="26">
        <v>36000</v>
      </c>
      <c r="D630" s="10"/>
      <c r="E630" s="27">
        <v>1</v>
      </c>
      <c r="F630" s="28">
        <f>+C630*E630</f>
        <v>36000</v>
      </c>
      <c r="G630" s="28"/>
      <c r="H630" s="29">
        <f>SUM(F630+G630)</f>
        <v>36000</v>
      </c>
      <c r="I630" s="10"/>
      <c r="J630" s="30">
        <f>+H630</f>
        <v>36000</v>
      </c>
      <c r="K630" s="28"/>
      <c r="L630" s="29"/>
    </row>
    <row r="631" spans="1:12" x14ac:dyDescent="0.2">
      <c r="B631" s="2"/>
      <c r="C631" s="26"/>
      <c r="D631" s="10"/>
      <c r="E631" s="27"/>
      <c r="F631" s="28"/>
      <c r="G631" s="28"/>
      <c r="H631" s="29"/>
      <c r="I631" s="10"/>
      <c r="J631" s="30"/>
      <c r="K631" s="28"/>
      <c r="L631" s="29"/>
    </row>
    <row r="632" spans="1:12" x14ac:dyDescent="0.2">
      <c r="A632" s="55">
        <v>6</v>
      </c>
      <c r="B632" s="2" t="s">
        <v>48</v>
      </c>
      <c r="C632" s="26">
        <v>51000</v>
      </c>
      <c r="D632" s="10"/>
      <c r="E632" s="27">
        <v>1</v>
      </c>
      <c r="F632" s="28">
        <f>+C632*E632</f>
        <v>51000</v>
      </c>
      <c r="G632" s="28"/>
      <c r="H632" s="29">
        <f>SUM(F632+G632)</f>
        <v>51000</v>
      </c>
      <c r="I632" s="10"/>
      <c r="J632" s="30">
        <f>+H632</f>
        <v>51000</v>
      </c>
      <c r="K632" s="28"/>
      <c r="L632" s="29"/>
    </row>
    <row r="633" spans="1:12" x14ac:dyDescent="0.2">
      <c r="B633" s="2"/>
      <c r="C633" s="26"/>
      <c r="D633" s="10"/>
      <c r="E633" s="27"/>
      <c r="F633" s="28"/>
      <c r="G633" s="28"/>
      <c r="H633" s="29"/>
      <c r="I633" s="10"/>
      <c r="J633" s="30"/>
      <c r="K633" s="28"/>
      <c r="L633" s="29"/>
    </row>
    <row r="634" spans="1:12" x14ac:dyDescent="0.2">
      <c r="A634" s="55">
        <v>7</v>
      </c>
      <c r="B634" s="2" t="s">
        <v>49</v>
      </c>
      <c r="C634" s="31">
        <v>0</v>
      </c>
      <c r="D634" s="10"/>
      <c r="E634" s="27"/>
      <c r="F634" s="28"/>
      <c r="G634" s="32">
        <v>0</v>
      </c>
      <c r="H634" s="33">
        <v>0</v>
      </c>
      <c r="I634" s="10"/>
      <c r="J634" s="34">
        <f>+H634</f>
        <v>0</v>
      </c>
      <c r="K634" s="32">
        <v>0</v>
      </c>
      <c r="L634" s="33">
        <v>0</v>
      </c>
    </row>
    <row r="635" spans="1:12" x14ac:dyDescent="0.2">
      <c r="B635" s="2"/>
      <c r="C635" s="26"/>
      <c r="D635" s="10"/>
      <c r="E635" s="27"/>
      <c r="F635" s="28"/>
      <c r="G635" s="28"/>
      <c r="H635" s="29"/>
      <c r="I635" s="10"/>
      <c r="J635" s="30"/>
      <c r="K635" s="28"/>
      <c r="L635" s="29"/>
    </row>
    <row r="636" spans="1:12" x14ac:dyDescent="0.2">
      <c r="A636" s="55">
        <v>8</v>
      </c>
      <c r="B636" s="2" t="s">
        <v>50</v>
      </c>
      <c r="C636" s="26">
        <v>13000</v>
      </c>
      <c r="D636" s="10"/>
      <c r="E636" s="27"/>
      <c r="F636" s="28"/>
      <c r="G636" s="28">
        <f>+C636</f>
        <v>13000</v>
      </c>
      <c r="H636" s="29">
        <f>SUM(F636+G636)</f>
        <v>13000</v>
      </c>
      <c r="I636" s="10"/>
      <c r="J636" s="30">
        <f>+H636</f>
        <v>13000</v>
      </c>
      <c r="K636" s="28"/>
      <c r="L636" s="29"/>
    </row>
    <row r="637" spans="1:12" x14ac:dyDescent="0.2">
      <c r="B637" s="2"/>
      <c r="C637" s="26"/>
      <c r="D637" s="10"/>
      <c r="E637" s="27"/>
      <c r="F637" s="28"/>
      <c r="G637" s="28"/>
      <c r="H637" s="29"/>
      <c r="I637" s="10"/>
      <c r="J637" s="30"/>
      <c r="K637" s="28"/>
      <c r="L637" s="29"/>
    </row>
    <row r="638" spans="1:12" x14ac:dyDescent="0.2">
      <c r="A638" s="55">
        <v>9</v>
      </c>
      <c r="B638" s="2" t="s">
        <v>51</v>
      </c>
      <c r="C638" s="26">
        <v>30000</v>
      </c>
      <c r="D638" s="10"/>
      <c r="E638" s="27"/>
      <c r="F638" s="28"/>
      <c r="G638" s="28">
        <f>+C638</f>
        <v>30000</v>
      </c>
      <c r="H638" s="29">
        <f>SUM(F638+G638)</f>
        <v>30000</v>
      </c>
      <c r="I638" s="10"/>
      <c r="J638" s="30">
        <f>+H638</f>
        <v>30000</v>
      </c>
      <c r="K638" s="28"/>
      <c r="L638" s="29"/>
    </row>
    <row r="639" spans="1:12" x14ac:dyDescent="0.2">
      <c r="B639" s="2"/>
      <c r="C639" s="26"/>
      <c r="D639" s="10"/>
      <c r="E639" s="27"/>
      <c r="F639" s="28"/>
      <c r="G639" s="28"/>
      <c r="H639" s="29"/>
      <c r="I639" s="10"/>
      <c r="J639" s="30"/>
      <c r="K639" s="28"/>
      <c r="L639" s="29"/>
    </row>
    <row r="640" spans="1:12" x14ac:dyDescent="0.2">
      <c r="A640" s="55">
        <v>10</v>
      </c>
      <c r="B640" s="2" t="s">
        <v>52</v>
      </c>
      <c r="C640" s="26">
        <v>40000</v>
      </c>
      <c r="D640" s="10"/>
      <c r="E640" s="27"/>
      <c r="F640" s="28"/>
      <c r="G640" s="28">
        <f>+C640</f>
        <v>40000</v>
      </c>
      <c r="H640" s="29">
        <f>SUM(F640+G640)</f>
        <v>40000</v>
      </c>
      <c r="I640" s="10"/>
      <c r="J640" s="30">
        <f>+H640</f>
        <v>40000</v>
      </c>
      <c r="K640" s="28"/>
      <c r="L640" s="29"/>
    </row>
    <row r="641" spans="1:12" x14ac:dyDescent="0.2">
      <c r="B641" s="2"/>
      <c r="C641" s="26"/>
      <c r="D641" s="10"/>
      <c r="E641" s="27"/>
      <c r="F641" s="28"/>
      <c r="G641" s="28"/>
      <c r="H641" s="29"/>
      <c r="I641" s="10"/>
      <c r="J641" s="30"/>
      <c r="K641" s="28"/>
      <c r="L641" s="29"/>
    </row>
    <row r="642" spans="1:12" ht="30" x14ac:dyDescent="0.2">
      <c r="A642" s="55">
        <v>11</v>
      </c>
      <c r="B642" s="2" t="s">
        <v>53</v>
      </c>
      <c r="C642" s="26"/>
      <c r="D642" s="10"/>
      <c r="E642" s="27"/>
      <c r="F642" s="28"/>
      <c r="G642" s="28">
        <f>ROUND((F624+F626+F628+F630+F632+F644+F648+F650+F652+F655+F657+F659+F661)*0.15,0)</f>
        <v>402024</v>
      </c>
      <c r="H642" s="60">
        <f>SUM(F642+G642)</f>
        <v>402024</v>
      </c>
      <c r="I642" s="10"/>
      <c r="J642" s="30">
        <f>ROUND((SUM(F624:F632)*0.15),0)</f>
        <v>39398</v>
      </c>
      <c r="K642" s="32">
        <f>ROUND(SUM(F644:F659)*0.15,0)</f>
        <v>281702</v>
      </c>
      <c r="L642" s="33">
        <f>ROUND(F661*0.15,0)</f>
        <v>80925</v>
      </c>
    </row>
    <row r="643" spans="1:12" x14ac:dyDescent="0.2">
      <c r="B643" s="2"/>
      <c r="C643" s="26"/>
      <c r="D643" s="10"/>
      <c r="E643" s="27"/>
      <c r="F643" s="28"/>
      <c r="G643" s="28"/>
      <c r="H643" s="29"/>
      <c r="I643" s="10"/>
      <c r="J643" s="30"/>
      <c r="K643" s="32"/>
      <c r="L643" s="33"/>
    </row>
    <row r="644" spans="1:12" x14ac:dyDescent="0.2">
      <c r="A644" s="55">
        <v>12</v>
      </c>
      <c r="B644" s="2" t="s">
        <v>54</v>
      </c>
      <c r="C644" s="26"/>
      <c r="D644" s="10"/>
      <c r="E644" s="27"/>
      <c r="F644" s="28">
        <f>(F624+F626+F628+F630+F632+F648+F650+F652+F655+F657+F659+F661)*0.2045</f>
        <v>455038.0625</v>
      </c>
      <c r="G644" s="28"/>
      <c r="H644" s="29">
        <f>(+H624+H626+H628+H630+H632+H648+H650+H652+H655+H657+H659+H661)*0.2045</f>
        <v>455038.0625</v>
      </c>
      <c r="I644" s="10"/>
      <c r="J644" s="30">
        <f>ROUND((SUM(F624:F632)*0.2045),0)</f>
        <v>53712</v>
      </c>
      <c r="K644" s="32">
        <f>ROUND((SUM(F648:F659)*0.2045),0)</f>
        <v>290998</v>
      </c>
      <c r="L644" s="33">
        <f>ROUND(F661*0.2045,0)</f>
        <v>110328</v>
      </c>
    </row>
    <row r="645" spans="1:12" x14ac:dyDescent="0.2">
      <c r="B645" s="2"/>
      <c r="C645" s="26"/>
      <c r="D645" s="10"/>
      <c r="E645" s="27"/>
      <c r="F645" s="28"/>
      <c r="G645" s="28"/>
      <c r="H645" s="29"/>
      <c r="I645" s="10"/>
      <c r="J645" s="30"/>
      <c r="K645" s="32"/>
      <c r="L645" s="33"/>
    </row>
    <row r="646" spans="1:12" x14ac:dyDescent="0.2">
      <c r="A646" s="55">
        <v>13</v>
      </c>
      <c r="B646" s="2" t="s">
        <v>55</v>
      </c>
      <c r="C646" s="26">
        <v>2000</v>
      </c>
      <c r="D646" s="10"/>
      <c r="E646" s="27"/>
      <c r="F646" s="28"/>
      <c r="G646" s="28">
        <f>E669*2000</f>
        <v>82000</v>
      </c>
      <c r="H646" s="29">
        <f>SUM(F646:G646)</f>
        <v>82000</v>
      </c>
      <c r="I646" s="10"/>
      <c r="J646" s="30">
        <f>(E624+E626+E628+E630+E632)*2000</f>
        <v>10000</v>
      </c>
      <c r="K646" s="32">
        <f>ROUND(SUM(E650:E659)*2000,0)</f>
        <v>52000</v>
      </c>
      <c r="L646" s="33">
        <f>ROUND(E661*2000,0)</f>
        <v>20000</v>
      </c>
    </row>
    <row r="647" spans="1:12" x14ac:dyDescent="0.2">
      <c r="B647" s="2"/>
      <c r="C647" s="26"/>
      <c r="D647" s="10"/>
      <c r="E647" s="27"/>
      <c r="F647" s="28"/>
      <c r="G647" s="28"/>
      <c r="H647" s="29"/>
      <c r="I647" s="10"/>
      <c r="J647" s="30"/>
      <c r="K647" s="32"/>
      <c r="L647" s="33"/>
    </row>
    <row r="648" spans="1:12" ht="30" x14ac:dyDescent="0.2">
      <c r="A648" s="55">
        <v>14</v>
      </c>
      <c r="B648" s="2" t="s">
        <v>56</v>
      </c>
      <c r="C648" s="26"/>
      <c r="D648" s="10"/>
      <c r="E648" s="27"/>
      <c r="F648" s="28">
        <f>(F655+F659+F661+F650)*0.05</f>
        <v>82275</v>
      </c>
      <c r="G648" s="28"/>
      <c r="H648" s="29">
        <f>SUM(F648:G648)</f>
        <v>82275</v>
      </c>
      <c r="I648" s="10"/>
      <c r="J648" s="30"/>
      <c r="K648" s="32">
        <f>ROUND((+F650+F655+F659)*0.05,0)</f>
        <v>55300</v>
      </c>
      <c r="L648" s="33">
        <f>ROUND(F661*0.05,0)</f>
        <v>26975</v>
      </c>
    </row>
    <row r="649" spans="1:12" x14ac:dyDescent="0.2">
      <c r="B649" s="2"/>
      <c r="C649" s="26"/>
      <c r="D649" s="10"/>
      <c r="E649" s="27"/>
      <c r="F649" s="28"/>
      <c r="G649" s="28"/>
      <c r="H649" s="29"/>
      <c r="I649" s="10"/>
      <c r="J649" s="30"/>
      <c r="K649" s="28"/>
      <c r="L649" s="29"/>
    </row>
    <row r="650" spans="1:12" x14ac:dyDescent="0.2">
      <c r="A650" s="55">
        <v>15</v>
      </c>
      <c r="B650" s="2" t="s">
        <v>57</v>
      </c>
      <c r="C650" s="26">
        <f>+F616</f>
        <v>59350</v>
      </c>
      <c r="D650" s="10"/>
      <c r="E650" s="27">
        <f>ROUND((E661+E659+E657+E655+E652)/6,0)</f>
        <v>5</v>
      </c>
      <c r="F650" s="28">
        <f>F616*E650</f>
        <v>296750</v>
      </c>
      <c r="G650" s="28"/>
      <c r="H650" s="29">
        <f>SUM(F650:G650)</f>
        <v>296750</v>
      </c>
      <c r="I650" s="10"/>
      <c r="J650" s="27"/>
      <c r="K650" s="32">
        <f>ROUND(F650*((+E$49+E$51+E$53)/(E$49+E$51+E$53+E$55)),0)</f>
        <v>186929</v>
      </c>
      <c r="L650" s="33">
        <f>ROUND((+F650*(E$55/(+E$49+E$51+E$53+E$55))),0)</f>
        <v>109821</v>
      </c>
    </row>
    <row r="651" spans="1:12" x14ac:dyDescent="0.2">
      <c r="B651" s="2"/>
      <c r="C651" s="26"/>
      <c r="D651" s="10"/>
      <c r="E651" s="27"/>
      <c r="F651" s="28"/>
      <c r="G651" s="28"/>
      <c r="H651" s="29"/>
      <c r="I651" s="10"/>
      <c r="J651" s="30"/>
      <c r="K651" s="28"/>
      <c r="L651" s="29"/>
    </row>
    <row r="652" spans="1:12" x14ac:dyDescent="0.2">
      <c r="A652" s="55">
        <v>16</v>
      </c>
      <c r="B652" s="2" t="s">
        <v>58</v>
      </c>
      <c r="C652" s="26">
        <f>+F617</f>
        <v>36150</v>
      </c>
      <c r="D652" s="10"/>
      <c r="E652" s="27">
        <f>ROUND((E661+E659+E657+E655)/5,0)</f>
        <v>5</v>
      </c>
      <c r="F652" s="28">
        <f>F617*E652</f>
        <v>180750</v>
      </c>
      <c r="G652" s="28"/>
      <c r="H652" s="29">
        <f>SUM(F652:G652)</f>
        <v>180750</v>
      </c>
      <c r="I652" s="10"/>
      <c r="J652" s="30"/>
      <c r="K652" s="32">
        <f>ROUND(F652*((+E$49+E$51+E$53)/(E$49+E$51+E$53+E$55)),0)</f>
        <v>113858</v>
      </c>
      <c r="L652" s="33">
        <f>ROUND((+F652*(E$55/(+E$49+E$51+E$53+E$55))),0)</f>
        <v>66892</v>
      </c>
    </row>
    <row r="653" spans="1:12" x14ac:dyDescent="0.2">
      <c r="B653" s="2"/>
      <c r="C653" s="26"/>
      <c r="D653" s="10"/>
      <c r="E653" s="27"/>
      <c r="F653" s="28"/>
      <c r="G653" s="28"/>
      <c r="H653" s="29"/>
      <c r="I653" s="10"/>
      <c r="J653" s="30"/>
      <c r="K653" s="28"/>
      <c r="L653" s="29"/>
    </row>
    <row r="654" spans="1:12" ht="15.75" x14ac:dyDescent="0.25">
      <c r="A654" s="18" t="s">
        <v>59</v>
      </c>
      <c r="B654" s="2"/>
      <c r="C654" s="26"/>
      <c r="D654" s="10"/>
      <c r="E654" s="27"/>
      <c r="F654" s="28"/>
      <c r="G654" s="28"/>
      <c r="H654" s="29"/>
      <c r="I654" s="10"/>
      <c r="J654" s="30"/>
      <c r="K654" s="28"/>
      <c r="L654" s="29"/>
    </row>
    <row r="655" spans="1:12" x14ac:dyDescent="0.2">
      <c r="A655" s="36">
        <v>17</v>
      </c>
      <c r="B655" s="37" t="s">
        <v>60</v>
      </c>
      <c r="C655" s="38">
        <f>+F615</f>
        <v>53950</v>
      </c>
      <c r="D655" s="39"/>
      <c r="E655" s="40">
        <f>ROUND(C611/30,0)</f>
        <v>6</v>
      </c>
      <c r="F655" s="41">
        <f>F615*E655</f>
        <v>323700</v>
      </c>
      <c r="G655" s="41"/>
      <c r="H655" s="35">
        <f>SUM(F655:G655)</f>
        <v>323700</v>
      </c>
      <c r="I655" s="39"/>
      <c r="J655" s="42"/>
      <c r="K655" s="28">
        <f>F615*E655</f>
        <v>323700</v>
      </c>
      <c r="L655" s="29"/>
    </row>
    <row r="656" spans="1:12" x14ac:dyDescent="0.2">
      <c r="A656" s="37"/>
      <c r="B656" s="37"/>
      <c r="C656" s="26"/>
      <c r="D656" s="10"/>
      <c r="E656" s="27"/>
      <c r="F656" s="28"/>
      <c r="G656" s="28"/>
      <c r="H656" s="29"/>
      <c r="I656" s="10"/>
      <c r="J656" s="30"/>
      <c r="K656" s="28"/>
      <c r="L656" s="29"/>
    </row>
    <row r="657" spans="1:12" ht="30" x14ac:dyDescent="0.2">
      <c r="A657" s="36">
        <v>18</v>
      </c>
      <c r="B657" s="37" t="s">
        <v>61</v>
      </c>
      <c r="C657" s="26">
        <f>+F615</f>
        <v>53950</v>
      </c>
      <c r="D657" s="10"/>
      <c r="E657" s="27">
        <v>1</v>
      </c>
      <c r="F657" s="28">
        <f>F615*E657</f>
        <v>53950</v>
      </c>
      <c r="G657" s="28"/>
      <c r="H657" s="29">
        <f>SUM(F657:G657)</f>
        <v>53950</v>
      </c>
      <c r="I657" s="10"/>
      <c r="J657" s="30" t="s">
        <v>62</v>
      </c>
      <c r="K657" s="28">
        <f>ROUND(E657*F615,0)</f>
        <v>53950</v>
      </c>
      <c r="L657" s="29"/>
    </row>
    <row r="658" spans="1:12" x14ac:dyDescent="0.2">
      <c r="A658" s="37"/>
      <c r="B658" s="37"/>
      <c r="C658" s="26"/>
      <c r="D658" s="10"/>
      <c r="E658" s="27"/>
      <c r="F658" s="28"/>
      <c r="G658" s="28"/>
      <c r="H658" s="29"/>
      <c r="I658" s="10"/>
      <c r="J658" s="30"/>
      <c r="K658" s="28"/>
      <c r="L658" s="29"/>
    </row>
    <row r="659" spans="1:12" x14ac:dyDescent="0.2">
      <c r="A659" s="37">
        <v>19</v>
      </c>
      <c r="B659" s="37" t="s">
        <v>63</v>
      </c>
      <c r="C659" s="26">
        <f>+F615</f>
        <v>53950</v>
      </c>
      <c r="D659" s="10"/>
      <c r="E659" s="27">
        <f>ROUND(C611/20,0)</f>
        <v>9</v>
      </c>
      <c r="F659" s="28">
        <f>F615*E659</f>
        <v>485550</v>
      </c>
      <c r="G659" s="28"/>
      <c r="H659" s="29">
        <f>SUM(F659:G659)</f>
        <v>485550</v>
      </c>
      <c r="I659" s="10"/>
      <c r="J659" s="30"/>
      <c r="K659" s="28">
        <f>F615*E659</f>
        <v>485550</v>
      </c>
      <c r="L659" s="29"/>
    </row>
    <row r="660" spans="1:12" x14ac:dyDescent="0.2">
      <c r="A660" s="37"/>
      <c r="B660" s="37"/>
      <c r="C660" s="26"/>
      <c r="D660" s="10"/>
      <c r="E660" s="27"/>
      <c r="F660" s="28"/>
      <c r="G660" s="28"/>
      <c r="H660" s="29"/>
      <c r="I660" s="10"/>
      <c r="J660" s="30"/>
      <c r="K660" s="28"/>
      <c r="L660" s="29"/>
    </row>
    <row r="661" spans="1:12" x14ac:dyDescent="0.2">
      <c r="A661" s="37">
        <v>20</v>
      </c>
      <c r="B661" s="37" t="s">
        <v>64</v>
      </c>
      <c r="C661" s="26">
        <f>+F615</f>
        <v>53950</v>
      </c>
      <c r="D661" s="10"/>
      <c r="E661" s="27">
        <f>ROUND(C612/20,0)</f>
        <v>10</v>
      </c>
      <c r="F661" s="28">
        <f>F615*E661</f>
        <v>539500</v>
      </c>
      <c r="G661" s="28"/>
      <c r="H661" s="29">
        <f>SUM(F661:G661)</f>
        <v>539500</v>
      </c>
      <c r="I661" s="10"/>
      <c r="J661" s="30"/>
      <c r="K661" s="28"/>
      <c r="L661" s="29">
        <f>F615*E661</f>
        <v>539500</v>
      </c>
    </row>
    <row r="662" spans="1:12" x14ac:dyDescent="0.2">
      <c r="A662" s="37"/>
      <c r="B662" s="37"/>
      <c r="C662" s="26"/>
      <c r="D662" s="10"/>
      <c r="E662" s="27"/>
      <c r="F662" s="28"/>
      <c r="G662" s="28"/>
      <c r="H662" s="29"/>
      <c r="I662" s="10"/>
      <c r="J662" s="30"/>
      <c r="K662" s="28"/>
      <c r="L662" s="29"/>
    </row>
    <row r="663" spans="1:12" x14ac:dyDescent="0.2">
      <c r="A663" s="37">
        <v>21</v>
      </c>
      <c r="B663" s="37" t="s">
        <v>65</v>
      </c>
      <c r="C663" s="31"/>
      <c r="D663" s="43"/>
      <c r="E663" s="27"/>
      <c r="F663" s="28"/>
      <c r="G663" s="28">
        <f>ROUND(125*C610,0)</f>
        <v>371125</v>
      </c>
      <c r="H663" s="29">
        <f>SUM(F663:G663)</f>
        <v>371125</v>
      </c>
      <c r="I663" s="10"/>
      <c r="J663" s="30" t="s">
        <v>62</v>
      </c>
      <c r="K663" s="29">
        <f>ROUND(125/2*C610,0)</f>
        <v>185563</v>
      </c>
      <c r="L663" s="29">
        <f>ROUND(125/2*C610,0)</f>
        <v>185563</v>
      </c>
    </row>
    <row r="664" spans="1:12" x14ac:dyDescent="0.2">
      <c r="A664" s="37"/>
      <c r="B664" s="37"/>
      <c r="C664" s="26"/>
      <c r="D664" s="10"/>
      <c r="E664" s="27"/>
      <c r="F664" s="28"/>
      <c r="G664" s="28"/>
      <c r="H664" s="29"/>
      <c r="I664" s="10"/>
      <c r="J664" s="30"/>
      <c r="K664" s="28"/>
      <c r="L664" s="29"/>
    </row>
    <row r="665" spans="1:12" x14ac:dyDescent="0.2">
      <c r="A665" s="37">
        <v>22</v>
      </c>
      <c r="B665" s="37" t="s">
        <v>66</v>
      </c>
      <c r="C665" s="26">
        <v>10000</v>
      </c>
      <c r="D665" s="10"/>
      <c r="E665" s="27"/>
      <c r="F665" s="28"/>
      <c r="G665" s="28">
        <f>((E624+E650+E655+E657+E659+E661)*10000)+60000</f>
        <v>380000</v>
      </c>
      <c r="H665" s="29">
        <f>SUM(F665:G665)</f>
        <v>380000</v>
      </c>
      <c r="I665" s="10"/>
      <c r="J665" s="30">
        <f>ROUND(10000*E624,0)</f>
        <v>10000</v>
      </c>
      <c r="K665" s="32">
        <f>(ROUND(10000*(+E659+E657+E655+E650),0))+60000</f>
        <v>270000</v>
      </c>
      <c r="L665" s="33">
        <f>ROUND(10000*E661,0)</f>
        <v>100000</v>
      </c>
    </row>
    <row r="666" spans="1:12" x14ac:dyDescent="0.2">
      <c r="A666" s="37"/>
      <c r="B666" s="37"/>
      <c r="C666" s="26"/>
      <c r="D666" s="10"/>
      <c r="E666" s="27"/>
      <c r="F666" s="28"/>
      <c r="G666" s="28"/>
      <c r="H666" s="29"/>
      <c r="I666" s="10"/>
      <c r="J666" s="30"/>
      <c r="K666" s="32"/>
      <c r="L666" s="33"/>
    </row>
    <row r="667" spans="1:12" x14ac:dyDescent="0.2">
      <c r="A667" s="37">
        <v>23</v>
      </c>
      <c r="B667" s="37" t="s">
        <v>82</v>
      </c>
      <c r="C667" s="26"/>
      <c r="D667" s="10"/>
      <c r="E667" s="27"/>
      <c r="F667" s="28"/>
      <c r="G667" s="28">
        <v>100000</v>
      </c>
      <c r="H667" s="29">
        <f>+G667</f>
        <v>100000</v>
      </c>
      <c r="I667" s="10"/>
      <c r="J667" s="30"/>
      <c r="K667" s="32"/>
      <c r="L667" s="33">
        <f>+H667</f>
        <v>100000</v>
      </c>
    </row>
    <row r="668" spans="1:12" x14ac:dyDescent="0.2">
      <c r="B668" s="2"/>
      <c r="C668" s="26"/>
      <c r="D668" s="10"/>
      <c r="E668" s="27"/>
      <c r="F668" s="28"/>
      <c r="G668" s="28"/>
      <c r="H668" s="29"/>
      <c r="I668" s="10"/>
      <c r="J668" s="30"/>
      <c r="K668" s="28"/>
      <c r="L668" s="29"/>
    </row>
    <row r="669" spans="1:12" ht="15.75" x14ac:dyDescent="0.25">
      <c r="B669" s="3" t="s">
        <v>67</v>
      </c>
      <c r="C669" s="44"/>
      <c r="D669" s="10"/>
      <c r="E669" s="45">
        <f>SUM(E622:E665)</f>
        <v>41</v>
      </c>
      <c r="F669" s="46">
        <f>SUM(F622:F667)</f>
        <v>2680163.0625</v>
      </c>
      <c r="G669" s="46">
        <f>SUM(G622:G667)</f>
        <v>1468149</v>
      </c>
      <c r="H669" s="47">
        <f>SUM(H622:H668)</f>
        <v>4148312.0625</v>
      </c>
      <c r="I669" s="10"/>
      <c r="J669" s="48">
        <f>SUM(J622:J667)</f>
        <v>508760</v>
      </c>
      <c r="K669" s="46">
        <f>SUM(K622:K668)</f>
        <v>2299550</v>
      </c>
      <c r="L669" s="47">
        <f>SUM(L622:L668)</f>
        <v>1340004</v>
      </c>
    </row>
    <row r="670" spans="1:12" x14ac:dyDescent="0.2">
      <c r="B670" s="49"/>
      <c r="J670" s="50"/>
      <c r="L670" s="50"/>
    </row>
    <row r="671" spans="1:12" x14ac:dyDescent="0.2">
      <c r="B671" s="49"/>
      <c r="J671" s="50"/>
      <c r="L671" s="50"/>
    </row>
    <row r="672" spans="1:12" x14ac:dyDescent="0.2">
      <c r="A672" s="37">
        <v>24</v>
      </c>
      <c r="B672" s="55" t="s">
        <v>68</v>
      </c>
      <c r="C672" s="8"/>
      <c r="D672" s="8"/>
      <c r="E672" s="11"/>
      <c r="L672" s="10">
        <f>+J669+K669+L669</f>
        <v>4148314</v>
      </c>
    </row>
    <row r="673" spans="1:12" x14ac:dyDescent="0.2">
      <c r="A673" s="37">
        <v>25</v>
      </c>
      <c r="B673" s="55" t="s">
        <v>69</v>
      </c>
      <c r="C673" s="7"/>
      <c r="D673" s="7"/>
      <c r="E673" s="11"/>
      <c r="L673" s="10">
        <v>2701930</v>
      </c>
    </row>
    <row r="674" spans="1:12" ht="15.75" x14ac:dyDescent="0.25">
      <c r="A674" s="37">
        <v>26</v>
      </c>
      <c r="B674" s="55" t="s">
        <v>182</v>
      </c>
      <c r="C674" s="7"/>
      <c r="D674" s="7"/>
      <c r="E674" s="11"/>
      <c r="J674" s="10" t="s">
        <v>62</v>
      </c>
      <c r="L674" s="51">
        <f>+L672-L673</f>
        <v>1446384</v>
      </c>
    </row>
    <row r="675" spans="1:12" x14ac:dyDescent="0.2">
      <c r="B675" s="8"/>
      <c r="C675" s="7"/>
      <c r="D675" s="7"/>
      <c r="E675" s="11"/>
      <c r="J675" s="10"/>
      <c r="L675" s="10"/>
    </row>
    <row r="676" spans="1:12" ht="78.75" x14ac:dyDescent="0.25">
      <c r="B676" s="8"/>
      <c r="C676" s="7"/>
      <c r="D676" s="7"/>
      <c r="E676" s="11"/>
      <c r="J676" s="51" t="s">
        <v>71</v>
      </c>
      <c r="K676" s="52" t="s">
        <v>72</v>
      </c>
      <c r="L676" s="53" t="s">
        <v>73</v>
      </c>
    </row>
    <row r="677" spans="1:12" ht="15.75" x14ac:dyDescent="0.25">
      <c r="B677" s="8" t="s">
        <v>74</v>
      </c>
      <c r="C677" s="7"/>
      <c r="D677" s="7"/>
      <c r="E677" s="11"/>
      <c r="J677" s="10">
        <f>+J669+K669</f>
        <v>2808310</v>
      </c>
      <c r="K677" s="10">
        <f>+L673</f>
        <v>2701930</v>
      </c>
      <c r="L677" s="51">
        <f>+J677-K677</f>
        <v>106380</v>
      </c>
    </row>
    <row r="678" spans="1:12" ht="15.75" x14ac:dyDescent="0.25">
      <c r="B678" s="54" t="s">
        <v>75</v>
      </c>
      <c r="C678" s="7"/>
      <c r="D678" s="7"/>
      <c r="E678" s="11"/>
      <c r="J678" s="10">
        <f>+L669</f>
        <v>1340004</v>
      </c>
      <c r="K678" s="10" t="s">
        <v>62</v>
      </c>
      <c r="L678" s="51">
        <f>+J678</f>
        <v>1340004</v>
      </c>
    </row>
    <row r="681" spans="1:12" x14ac:dyDescent="0.2">
      <c r="A681" s="1" t="s">
        <v>23</v>
      </c>
      <c r="B681" s="2"/>
    </row>
    <row r="682" spans="1:12" ht="15.75" x14ac:dyDescent="0.25">
      <c r="A682" s="56" t="s">
        <v>24</v>
      </c>
      <c r="B682" s="3"/>
      <c r="C682" s="56" t="s">
        <v>189</v>
      </c>
    </row>
    <row r="683" spans="1:12" x14ac:dyDescent="0.2">
      <c r="A683" s="55" t="s">
        <v>26</v>
      </c>
      <c r="B683" s="2"/>
    </row>
    <row r="684" spans="1:12" x14ac:dyDescent="0.2">
      <c r="B684" s="2"/>
      <c r="C684" s="4"/>
      <c r="D684" s="4"/>
    </row>
    <row r="685" spans="1:12" x14ac:dyDescent="0.2">
      <c r="B685" s="2"/>
      <c r="C685" s="5"/>
      <c r="D685" s="5"/>
    </row>
    <row r="686" spans="1:12" ht="15.75" x14ac:dyDescent="0.25">
      <c r="A686" s="55" t="s">
        <v>27</v>
      </c>
      <c r="B686" s="2"/>
      <c r="C686" s="6">
        <v>928</v>
      </c>
      <c r="D686" s="4"/>
      <c r="E686" s="7"/>
    </row>
    <row r="687" spans="1:12" ht="15.75" x14ac:dyDescent="0.25">
      <c r="A687" s="55" t="s">
        <v>28</v>
      </c>
      <c r="B687" s="2"/>
      <c r="C687" s="6">
        <f>C686*0.06</f>
        <v>55.68</v>
      </c>
      <c r="D687" s="4"/>
      <c r="E687" s="7"/>
    </row>
    <row r="688" spans="1:12" ht="15.75" x14ac:dyDescent="0.25">
      <c r="A688" s="55" t="s">
        <v>29</v>
      </c>
      <c r="B688" s="2"/>
      <c r="C688" s="6">
        <f>C686/3*0.2</f>
        <v>61.866666666666667</v>
      </c>
      <c r="D688" s="6"/>
      <c r="E688" s="7"/>
    </row>
    <row r="689" spans="1:12" ht="15.75" x14ac:dyDescent="0.25">
      <c r="B689" s="2" t="s">
        <v>30</v>
      </c>
      <c r="C689" s="6"/>
      <c r="D689" s="4"/>
      <c r="E689" s="7"/>
    </row>
    <row r="690" spans="1:12" x14ac:dyDescent="0.2">
      <c r="B690" s="2"/>
    </row>
    <row r="691" spans="1:12" x14ac:dyDescent="0.2">
      <c r="A691" s="7" t="s">
        <v>31</v>
      </c>
      <c r="B691" s="8"/>
      <c r="D691" s="9"/>
      <c r="F691" s="9">
        <v>53950</v>
      </c>
      <c r="H691" s="10"/>
      <c r="I691" s="10"/>
    </row>
    <row r="692" spans="1:12" x14ac:dyDescent="0.2">
      <c r="A692" s="7" t="s">
        <v>32</v>
      </c>
      <c r="B692" s="8"/>
      <c r="D692" s="9"/>
      <c r="F692" s="9">
        <v>59350</v>
      </c>
      <c r="H692" s="10"/>
      <c r="I692" s="10"/>
    </row>
    <row r="693" spans="1:12" x14ac:dyDescent="0.2">
      <c r="A693" s="7" t="s">
        <v>33</v>
      </c>
      <c r="B693" s="8"/>
      <c r="D693" s="9"/>
      <c r="F693" s="9">
        <v>36150</v>
      </c>
      <c r="H693" s="10"/>
      <c r="I693" s="10"/>
    </row>
    <row r="694" spans="1:12" x14ac:dyDescent="0.2">
      <c r="A694" s="7"/>
      <c r="B694" s="8"/>
      <c r="C694" s="11"/>
      <c r="D694" s="11"/>
      <c r="H694" s="10"/>
      <c r="I694" s="10"/>
    </row>
    <row r="695" spans="1:12" ht="15.75" x14ac:dyDescent="0.25">
      <c r="B695" s="2"/>
      <c r="J695" s="12" t="s">
        <v>34</v>
      </c>
      <c r="K695" s="412" t="s">
        <v>35</v>
      </c>
      <c r="L695" s="413"/>
    </row>
    <row r="696" spans="1:12" ht="31.5" x14ac:dyDescent="0.25">
      <c r="A696" s="56" t="s">
        <v>36</v>
      </c>
      <c r="B696" s="13"/>
      <c r="C696" s="14" t="s">
        <v>37</v>
      </c>
      <c r="D696" s="15"/>
      <c r="E696" s="12" t="s">
        <v>38</v>
      </c>
      <c r="F696" s="12" t="s">
        <v>39</v>
      </c>
      <c r="G696" s="12" t="s">
        <v>40</v>
      </c>
      <c r="H696" s="12" t="s">
        <v>0</v>
      </c>
      <c r="I696" s="16"/>
      <c r="J696" s="14" t="s">
        <v>41</v>
      </c>
      <c r="K696" s="17" t="s">
        <v>42</v>
      </c>
      <c r="L696" s="12" t="s">
        <v>43</v>
      </c>
    </row>
    <row r="697" spans="1:12" ht="15.75" x14ac:dyDescent="0.25">
      <c r="A697" s="18"/>
      <c r="B697" s="13"/>
      <c r="C697" s="19"/>
      <c r="D697" s="15"/>
      <c r="E697" s="20"/>
      <c r="F697" s="21"/>
      <c r="G697" s="21"/>
      <c r="H697" s="22"/>
      <c r="I697" s="16"/>
      <c r="J697" s="23"/>
      <c r="K697" s="24"/>
      <c r="L697" s="25"/>
    </row>
    <row r="698" spans="1:12" x14ac:dyDescent="0.2">
      <c r="A698" s="55">
        <v>1</v>
      </c>
      <c r="B698" s="2" t="s">
        <v>44</v>
      </c>
      <c r="C698" s="26">
        <v>50000</v>
      </c>
      <c r="D698" s="10"/>
      <c r="E698" s="27"/>
      <c r="F698" s="28"/>
      <c r="G698" s="28">
        <f>+C698</f>
        <v>50000</v>
      </c>
      <c r="H698" s="29">
        <f>SUM(F698+G698)</f>
        <v>50000</v>
      </c>
      <c r="I698" s="10"/>
      <c r="J698" s="30">
        <f>+H698</f>
        <v>50000</v>
      </c>
      <c r="K698" s="28"/>
      <c r="L698" s="29"/>
    </row>
    <row r="699" spans="1:12" x14ac:dyDescent="0.2">
      <c r="B699" s="2"/>
      <c r="C699" s="26"/>
      <c r="D699" s="10"/>
      <c r="E699" s="27"/>
      <c r="F699" s="28"/>
      <c r="G699" s="28"/>
      <c r="H699" s="29"/>
      <c r="I699" s="10"/>
      <c r="J699" s="30"/>
      <c r="K699" s="28"/>
      <c r="L699" s="29"/>
    </row>
    <row r="700" spans="1:12" x14ac:dyDescent="0.2">
      <c r="A700" s="55">
        <v>2</v>
      </c>
      <c r="B700" s="2" t="s">
        <v>45</v>
      </c>
      <c r="C700" s="26">
        <v>77000</v>
      </c>
      <c r="D700" s="10"/>
      <c r="E700" s="27">
        <v>1</v>
      </c>
      <c r="F700" s="28">
        <f>+C700*E700</f>
        <v>77000</v>
      </c>
      <c r="G700" s="28"/>
      <c r="H700" s="29">
        <f>SUM(F700+G700)</f>
        <v>77000</v>
      </c>
      <c r="I700" s="10"/>
      <c r="J700" s="30">
        <f>+H700</f>
        <v>77000</v>
      </c>
      <c r="K700" s="28"/>
      <c r="L700" s="29"/>
    </row>
    <row r="701" spans="1:12" x14ac:dyDescent="0.2">
      <c r="B701" s="2"/>
      <c r="C701" s="26"/>
      <c r="D701" s="10"/>
      <c r="E701" s="27"/>
      <c r="F701" s="28"/>
      <c r="G701" s="28"/>
      <c r="H701" s="29"/>
      <c r="I701" s="10"/>
      <c r="J701" s="30"/>
      <c r="K701" s="28"/>
      <c r="L701" s="29"/>
    </row>
    <row r="702" spans="1:12" ht="30" x14ac:dyDescent="0.2">
      <c r="A702" s="55">
        <v>3</v>
      </c>
      <c r="B702" s="2" t="s">
        <v>81</v>
      </c>
      <c r="C702" s="26">
        <f>+F692</f>
        <v>59350</v>
      </c>
      <c r="D702" s="10"/>
      <c r="E702" s="27">
        <v>1</v>
      </c>
      <c r="F702" s="28">
        <f>+C702*E702</f>
        <v>59350</v>
      </c>
      <c r="G702" s="28"/>
      <c r="H702" s="29">
        <f>SUM(F702+G702)</f>
        <v>59350</v>
      </c>
      <c r="I702" s="10"/>
      <c r="J702" s="30">
        <f>+H702</f>
        <v>59350</v>
      </c>
      <c r="K702" s="28"/>
      <c r="L702" s="29"/>
    </row>
    <row r="703" spans="1:12" x14ac:dyDescent="0.2">
      <c r="B703" s="2"/>
      <c r="C703" s="26"/>
      <c r="D703" s="10"/>
      <c r="E703" s="27"/>
      <c r="F703" s="28"/>
      <c r="G703" s="28"/>
      <c r="H703" s="29"/>
      <c r="I703" s="10"/>
      <c r="J703" s="30"/>
      <c r="K703" s="28"/>
      <c r="L703" s="29"/>
    </row>
    <row r="704" spans="1:12" x14ac:dyDescent="0.2">
      <c r="A704" s="55">
        <v>4</v>
      </c>
      <c r="B704" s="2" t="s">
        <v>46</v>
      </c>
      <c r="C704" s="26">
        <v>39300</v>
      </c>
      <c r="D704" s="10"/>
      <c r="E704" s="27">
        <v>1</v>
      </c>
      <c r="F704" s="28">
        <f>+C704*E704</f>
        <v>39300</v>
      </c>
      <c r="G704" s="28"/>
      <c r="H704" s="29">
        <f>SUM(F704+G704)</f>
        <v>39300</v>
      </c>
      <c r="I704" s="10"/>
      <c r="J704" s="30">
        <f>+H704</f>
        <v>39300</v>
      </c>
      <c r="K704" s="28"/>
      <c r="L704" s="29"/>
    </row>
    <row r="705" spans="1:12" x14ac:dyDescent="0.2">
      <c r="B705" s="2"/>
      <c r="C705" s="26"/>
      <c r="D705" s="10"/>
      <c r="E705" s="27"/>
      <c r="F705" s="28"/>
      <c r="G705" s="28"/>
      <c r="H705" s="29"/>
      <c r="I705" s="10"/>
      <c r="J705" s="30"/>
      <c r="K705" s="28"/>
      <c r="L705" s="29"/>
    </row>
    <row r="706" spans="1:12" x14ac:dyDescent="0.2">
      <c r="A706" s="55">
        <v>5</v>
      </c>
      <c r="B706" s="2" t="s">
        <v>47</v>
      </c>
      <c r="C706" s="26">
        <v>36000</v>
      </c>
      <c r="D706" s="10"/>
      <c r="E706" s="27">
        <v>1</v>
      </c>
      <c r="F706" s="28">
        <f>+C706*E706</f>
        <v>36000</v>
      </c>
      <c r="G706" s="28"/>
      <c r="H706" s="29">
        <f>SUM(F706+G706)</f>
        <v>36000</v>
      </c>
      <c r="I706" s="10"/>
      <c r="J706" s="30">
        <f>+H706</f>
        <v>36000</v>
      </c>
      <c r="K706" s="28"/>
      <c r="L706" s="29"/>
    </row>
    <row r="707" spans="1:12" x14ac:dyDescent="0.2">
      <c r="B707" s="2"/>
      <c r="C707" s="26"/>
      <c r="D707" s="10"/>
      <c r="E707" s="27"/>
      <c r="F707" s="28"/>
      <c r="G707" s="28"/>
      <c r="H707" s="29"/>
      <c r="I707" s="10"/>
      <c r="J707" s="30"/>
      <c r="K707" s="28"/>
      <c r="L707" s="29"/>
    </row>
    <row r="708" spans="1:12" x14ac:dyDescent="0.2">
      <c r="A708" s="55">
        <v>6</v>
      </c>
      <c r="B708" s="2" t="s">
        <v>48</v>
      </c>
      <c r="C708" s="26">
        <v>51000</v>
      </c>
      <c r="D708" s="10"/>
      <c r="E708" s="27">
        <v>1</v>
      </c>
      <c r="F708" s="28">
        <f>+C708*E708</f>
        <v>51000</v>
      </c>
      <c r="G708" s="28"/>
      <c r="H708" s="29">
        <f>SUM(F708+G708)</f>
        <v>51000</v>
      </c>
      <c r="I708" s="10"/>
      <c r="J708" s="30">
        <f>+H708</f>
        <v>51000</v>
      </c>
      <c r="K708" s="28"/>
      <c r="L708" s="29"/>
    </row>
    <row r="709" spans="1:12" x14ac:dyDescent="0.2">
      <c r="B709" s="2"/>
      <c r="C709" s="26"/>
      <c r="D709" s="10"/>
      <c r="E709" s="27"/>
      <c r="F709" s="28"/>
      <c r="G709" s="28"/>
      <c r="H709" s="29"/>
      <c r="I709" s="10"/>
      <c r="J709" s="30"/>
      <c r="K709" s="28"/>
      <c r="L709" s="29"/>
    </row>
    <row r="710" spans="1:12" x14ac:dyDescent="0.2">
      <c r="A710" s="55">
        <v>7</v>
      </c>
      <c r="B710" s="2" t="s">
        <v>49</v>
      </c>
      <c r="C710" s="31">
        <v>0</v>
      </c>
      <c r="D710" s="10"/>
      <c r="E710" s="27"/>
      <c r="F710" s="28"/>
      <c r="G710" s="32">
        <v>0</v>
      </c>
      <c r="H710" s="33">
        <v>0</v>
      </c>
      <c r="I710" s="10"/>
      <c r="J710" s="34">
        <f>+H710</f>
        <v>0</v>
      </c>
      <c r="K710" s="32">
        <v>0</v>
      </c>
      <c r="L710" s="33">
        <v>0</v>
      </c>
    </row>
    <row r="711" spans="1:12" x14ac:dyDescent="0.2">
      <c r="B711" s="2"/>
      <c r="C711" s="26"/>
      <c r="D711" s="10"/>
      <c r="E711" s="27"/>
      <c r="F711" s="28"/>
      <c r="G711" s="28"/>
      <c r="H711" s="29"/>
      <c r="I711" s="10"/>
      <c r="J711" s="30"/>
      <c r="K711" s="28"/>
      <c r="L711" s="29"/>
    </row>
    <row r="712" spans="1:12" x14ac:dyDescent="0.2">
      <c r="A712" s="55">
        <v>8</v>
      </c>
      <c r="B712" s="2" t="s">
        <v>50</v>
      </c>
      <c r="C712" s="26">
        <v>13000</v>
      </c>
      <c r="D712" s="10"/>
      <c r="E712" s="27"/>
      <c r="F712" s="28"/>
      <c r="G712" s="28">
        <f>+C712</f>
        <v>13000</v>
      </c>
      <c r="H712" s="29">
        <f>SUM(F712+G712)</f>
        <v>13000</v>
      </c>
      <c r="I712" s="10"/>
      <c r="J712" s="30">
        <f>+H712</f>
        <v>13000</v>
      </c>
      <c r="K712" s="28"/>
      <c r="L712" s="29"/>
    </row>
    <row r="713" spans="1:12" x14ac:dyDescent="0.2">
      <c r="B713" s="2"/>
      <c r="C713" s="26"/>
      <c r="D713" s="10"/>
      <c r="E713" s="27"/>
      <c r="F713" s="28"/>
      <c r="G713" s="28"/>
      <c r="H713" s="29"/>
      <c r="I713" s="10"/>
      <c r="J713" s="30"/>
      <c r="K713" s="28"/>
      <c r="L713" s="29"/>
    </row>
    <row r="714" spans="1:12" x14ac:dyDescent="0.2">
      <c r="A714" s="55">
        <v>9</v>
      </c>
      <c r="B714" s="2" t="s">
        <v>51</v>
      </c>
      <c r="C714" s="26">
        <v>30000</v>
      </c>
      <c r="D714" s="10"/>
      <c r="E714" s="27"/>
      <c r="F714" s="28"/>
      <c r="G714" s="28">
        <f>+C714</f>
        <v>30000</v>
      </c>
      <c r="H714" s="29">
        <f>SUM(F714+G714)</f>
        <v>30000</v>
      </c>
      <c r="I714" s="10"/>
      <c r="J714" s="30">
        <f>+H714</f>
        <v>30000</v>
      </c>
      <c r="K714" s="28"/>
      <c r="L714" s="29"/>
    </row>
    <row r="715" spans="1:12" x14ac:dyDescent="0.2">
      <c r="B715" s="2"/>
      <c r="C715" s="26"/>
      <c r="D715" s="10"/>
      <c r="E715" s="27"/>
      <c r="F715" s="28"/>
      <c r="G715" s="28"/>
      <c r="H715" s="29"/>
      <c r="I715" s="10"/>
      <c r="J715" s="30"/>
      <c r="K715" s="28"/>
      <c r="L715" s="29"/>
    </row>
    <row r="716" spans="1:12" x14ac:dyDescent="0.2">
      <c r="A716" s="55">
        <v>10</v>
      </c>
      <c r="B716" s="2" t="s">
        <v>52</v>
      </c>
      <c r="C716" s="26">
        <v>40000</v>
      </c>
      <c r="D716" s="10"/>
      <c r="E716" s="27"/>
      <c r="F716" s="28"/>
      <c r="G716" s="28">
        <f>+C716</f>
        <v>40000</v>
      </c>
      <c r="H716" s="29">
        <f>SUM(F716+G716)</f>
        <v>40000</v>
      </c>
      <c r="I716" s="10"/>
      <c r="J716" s="30">
        <f>+H716</f>
        <v>40000</v>
      </c>
      <c r="K716" s="28"/>
      <c r="L716" s="29"/>
    </row>
    <row r="717" spans="1:12" x14ac:dyDescent="0.2">
      <c r="B717" s="2"/>
      <c r="C717" s="26"/>
      <c r="D717" s="10"/>
      <c r="E717" s="27"/>
      <c r="F717" s="28"/>
      <c r="G717" s="28"/>
      <c r="H717" s="29"/>
      <c r="I717" s="10"/>
      <c r="J717" s="30"/>
      <c r="K717" s="28"/>
      <c r="L717" s="29"/>
    </row>
    <row r="718" spans="1:12" ht="30" x14ac:dyDescent="0.2">
      <c r="A718" s="55">
        <v>11</v>
      </c>
      <c r="B718" s="2" t="s">
        <v>53</v>
      </c>
      <c r="C718" s="26"/>
      <c r="D718" s="10"/>
      <c r="E718" s="27"/>
      <c r="F718" s="28"/>
      <c r="G718" s="28">
        <f>ROUND((F700+F702+F704+F706+F708+F720+F724+F726+F728+F731+F733+F735+F737)*0.15,0)</f>
        <v>174661</v>
      </c>
      <c r="H718" s="60">
        <f>SUM(F718+G718)</f>
        <v>174661</v>
      </c>
      <c r="I718" s="10"/>
      <c r="J718" s="30">
        <f>ROUND((SUM(F700:F708)*0.15),0)</f>
        <v>39398</v>
      </c>
      <c r="K718" s="32">
        <f>ROUND(SUM(F720:F735)*0.15,0)</f>
        <v>110986</v>
      </c>
      <c r="L718" s="33">
        <f>ROUND(F737*0.15,0)</f>
        <v>24278</v>
      </c>
    </row>
    <row r="719" spans="1:12" x14ac:dyDescent="0.2">
      <c r="B719" s="2"/>
      <c r="C719" s="26"/>
      <c r="D719" s="10"/>
      <c r="E719" s="27"/>
      <c r="F719" s="28"/>
      <c r="G719" s="28"/>
      <c r="H719" s="29"/>
      <c r="I719" s="10"/>
      <c r="J719" s="30"/>
      <c r="K719" s="32"/>
      <c r="L719" s="33"/>
    </row>
    <row r="720" spans="1:12" x14ac:dyDescent="0.2">
      <c r="A720" s="55">
        <v>12</v>
      </c>
      <c r="B720" s="2" t="s">
        <v>54</v>
      </c>
      <c r="C720" s="26"/>
      <c r="D720" s="10"/>
      <c r="E720" s="27"/>
      <c r="F720" s="28">
        <f>(F700+F702+F704+F706+F708+F724+F726+F728+F731+F733+F735+F737)*0.2045</f>
        <v>197693.2175</v>
      </c>
      <c r="G720" s="28"/>
      <c r="H720" s="29">
        <f>(+H700+H702+H704+H706+H708+H724+H726+H728+H731+H733+H735+H737)*0.2045</f>
        <v>197693.2175</v>
      </c>
      <c r="I720" s="10"/>
      <c r="J720" s="30">
        <f>ROUND((SUM(F700:F708)*0.2045),0)</f>
        <v>53712</v>
      </c>
      <c r="K720" s="32">
        <f>ROUND((SUM(F724:F735)*0.2045),0)</f>
        <v>110883</v>
      </c>
      <c r="L720" s="33">
        <f>ROUND(F737*0.2045,0)</f>
        <v>33098</v>
      </c>
    </row>
    <row r="721" spans="1:12" x14ac:dyDescent="0.2">
      <c r="B721" s="2"/>
      <c r="C721" s="26"/>
      <c r="D721" s="10"/>
      <c r="E721" s="27"/>
      <c r="F721" s="28"/>
      <c r="G721" s="28"/>
      <c r="H721" s="29"/>
      <c r="I721" s="10"/>
      <c r="J721" s="30"/>
      <c r="K721" s="32"/>
      <c r="L721" s="33"/>
    </row>
    <row r="722" spans="1:12" x14ac:dyDescent="0.2">
      <c r="A722" s="55">
        <v>13</v>
      </c>
      <c r="B722" s="2" t="s">
        <v>55</v>
      </c>
      <c r="C722" s="26">
        <v>2000</v>
      </c>
      <c r="D722" s="10"/>
      <c r="E722" s="27"/>
      <c r="F722" s="28"/>
      <c r="G722" s="28">
        <f>E745*2000</f>
        <v>36000</v>
      </c>
      <c r="H722" s="29">
        <f>SUM(F722:G722)</f>
        <v>36000</v>
      </c>
      <c r="I722" s="10"/>
      <c r="J722" s="30">
        <f>(E700+E702+E704+E706+E708)*2000</f>
        <v>10000</v>
      </c>
      <c r="K722" s="32">
        <f>ROUND(SUM(E726:E735)*2000,0)</f>
        <v>20000</v>
      </c>
      <c r="L722" s="33">
        <f>ROUND(E737*2000,0)</f>
        <v>6000</v>
      </c>
    </row>
    <row r="723" spans="1:12" x14ac:dyDescent="0.2">
      <c r="B723" s="2"/>
      <c r="C723" s="26"/>
      <c r="D723" s="10"/>
      <c r="E723" s="27"/>
      <c r="F723" s="28"/>
      <c r="G723" s="28"/>
      <c r="H723" s="29"/>
      <c r="I723" s="10"/>
      <c r="J723" s="30"/>
      <c r="K723" s="32"/>
      <c r="L723" s="33"/>
    </row>
    <row r="724" spans="1:12" ht="30" x14ac:dyDescent="0.2">
      <c r="A724" s="55">
        <v>14</v>
      </c>
      <c r="B724" s="2" t="s">
        <v>56</v>
      </c>
      <c r="C724" s="26"/>
      <c r="D724" s="10"/>
      <c r="E724" s="27"/>
      <c r="F724" s="28">
        <f>(F731+F735+F737+F726)*0.05</f>
        <v>27515</v>
      </c>
      <c r="G724" s="28"/>
      <c r="H724" s="29">
        <f>SUM(F724:G724)</f>
        <v>27515</v>
      </c>
      <c r="I724" s="10"/>
      <c r="J724" s="30"/>
      <c r="K724" s="32">
        <f>ROUND((+F726+F731+F735)*0.05,0)</f>
        <v>19423</v>
      </c>
      <c r="L724" s="33">
        <f>ROUND(F737*0.05,0)</f>
        <v>8093</v>
      </c>
    </row>
    <row r="725" spans="1:12" x14ac:dyDescent="0.2">
      <c r="B725" s="2"/>
      <c r="C725" s="26"/>
      <c r="D725" s="10"/>
      <c r="E725" s="27"/>
      <c r="F725" s="28"/>
      <c r="G725" s="28"/>
      <c r="H725" s="29"/>
      <c r="I725" s="10"/>
      <c r="J725" s="30"/>
      <c r="K725" s="28"/>
      <c r="L725" s="29"/>
    </row>
    <row r="726" spans="1:12" x14ac:dyDescent="0.2">
      <c r="A726" s="55">
        <v>15</v>
      </c>
      <c r="B726" s="2" t="s">
        <v>57</v>
      </c>
      <c r="C726" s="26">
        <f>+F692</f>
        <v>59350</v>
      </c>
      <c r="D726" s="10"/>
      <c r="E726" s="27">
        <f>ROUND((E737+E735+E733+E731+E728)/6,0)</f>
        <v>2</v>
      </c>
      <c r="F726" s="28">
        <f>F692*E726</f>
        <v>118700</v>
      </c>
      <c r="G726" s="28"/>
      <c r="H726" s="29">
        <f>SUM(F726:G726)</f>
        <v>118700</v>
      </c>
      <c r="I726" s="10"/>
      <c r="J726" s="27"/>
      <c r="K726" s="32">
        <f>ROUND(F726*((+E$49+E$51+E$53)/(E$49+E$51+E$53+E$55)),0)</f>
        <v>74772</v>
      </c>
      <c r="L726" s="33">
        <f>ROUND((+F726*(E$55/(+E$49+E$51+E$53+E$55))),0)</f>
        <v>43928</v>
      </c>
    </row>
    <row r="727" spans="1:12" x14ac:dyDescent="0.2">
      <c r="B727" s="2"/>
      <c r="C727" s="26"/>
      <c r="D727" s="10"/>
      <c r="E727" s="27"/>
      <c r="F727" s="28"/>
      <c r="G727" s="28"/>
      <c r="H727" s="29"/>
      <c r="I727" s="10"/>
      <c r="J727" s="30"/>
      <c r="K727" s="28"/>
      <c r="L727" s="29"/>
    </row>
    <row r="728" spans="1:12" x14ac:dyDescent="0.2">
      <c r="A728" s="55">
        <v>16</v>
      </c>
      <c r="B728" s="2" t="s">
        <v>58</v>
      </c>
      <c r="C728" s="26">
        <f>+F693</f>
        <v>36150</v>
      </c>
      <c r="D728" s="10"/>
      <c r="E728" s="27">
        <f>ROUND((E737+E735+E733+E731)/5,0)</f>
        <v>2</v>
      </c>
      <c r="F728" s="28">
        <f>F693*E728</f>
        <v>72300</v>
      </c>
      <c r="G728" s="28"/>
      <c r="H728" s="29">
        <f>SUM(F728:G728)</f>
        <v>72300</v>
      </c>
      <c r="I728" s="10"/>
      <c r="J728" s="30"/>
      <c r="K728" s="32">
        <f>ROUND(F728*((+E$49+E$51+E$53)/(E$49+E$51+E$53+E$55)),0)</f>
        <v>45543</v>
      </c>
      <c r="L728" s="33">
        <f>ROUND((+F728*(E$55/(+E$49+E$51+E$53+E$55))),0)</f>
        <v>26757</v>
      </c>
    </row>
    <row r="729" spans="1:12" x14ac:dyDescent="0.2">
      <c r="B729" s="2"/>
      <c r="C729" s="26"/>
      <c r="D729" s="10"/>
      <c r="E729" s="27"/>
      <c r="F729" s="28"/>
      <c r="G729" s="28"/>
      <c r="H729" s="29"/>
      <c r="I729" s="10"/>
      <c r="J729" s="30"/>
      <c r="K729" s="28"/>
      <c r="L729" s="29"/>
    </row>
    <row r="730" spans="1:12" ht="15.75" x14ac:dyDescent="0.25">
      <c r="A730" s="18" t="s">
        <v>59</v>
      </c>
      <c r="B730" s="2"/>
      <c r="C730" s="26"/>
      <c r="D730" s="10"/>
      <c r="E730" s="27"/>
      <c r="F730" s="28"/>
      <c r="G730" s="28"/>
      <c r="H730" s="29"/>
      <c r="I730" s="10"/>
      <c r="J730" s="30"/>
      <c r="K730" s="28"/>
      <c r="L730" s="29"/>
    </row>
    <row r="731" spans="1:12" x14ac:dyDescent="0.2">
      <c r="A731" s="36">
        <v>17</v>
      </c>
      <c r="B731" s="37" t="s">
        <v>60</v>
      </c>
      <c r="C731" s="38">
        <f>+F691</f>
        <v>53950</v>
      </c>
      <c r="D731" s="39"/>
      <c r="E731" s="40">
        <f>ROUND(C687/30,0)</f>
        <v>2</v>
      </c>
      <c r="F731" s="41">
        <f>F691*E731</f>
        <v>107900</v>
      </c>
      <c r="G731" s="41"/>
      <c r="H731" s="35">
        <f>SUM(F731:G731)</f>
        <v>107900</v>
      </c>
      <c r="I731" s="39"/>
      <c r="J731" s="42"/>
      <c r="K731" s="28">
        <f>F691*E731</f>
        <v>107900</v>
      </c>
      <c r="L731" s="29"/>
    </row>
    <row r="732" spans="1:12" x14ac:dyDescent="0.2">
      <c r="A732" s="37"/>
      <c r="B732" s="37"/>
      <c r="C732" s="26"/>
      <c r="D732" s="10"/>
      <c r="E732" s="27"/>
      <c r="F732" s="28"/>
      <c r="G732" s="28"/>
      <c r="H732" s="29"/>
      <c r="I732" s="10"/>
      <c r="J732" s="30"/>
      <c r="K732" s="28"/>
      <c r="L732" s="29"/>
    </row>
    <row r="733" spans="1:12" ht="30" x14ac:dyDescent="0.2">
      <c r="A733" s="36">
        <v>18</v>
      </c>
      <c r="B733" s="37" t="s">
        <v>61</v>
      </c>
      <c r="C733" s="26">
        <f>+F691</f>
        <v>53950</v>
      </c>
      <c r="D733" s="10"/>
      <c r="E733" s="27">
        <v>1</v>
      </c>
      <c r="F733" s="28">
        <f>F691*E733</f>
        <v>53950</v>
      </c>
      <c r="G733" s="28"/>
      <c r="H733" s="29">
        <f>SUM(F733:G733)</f>
        <v>53950</v>
      </c>
      <c r="I733" s="10"/>
      <c r="J733" s="30" t="s">
        <v>62</v>
      </c>
      <c r="K733" s="28">
        <f>ROUND(E733*F691,0)</f>
        <v>53950</v>
      </c>
      <c r="L733" s="29"/>
    </row>
    <row r="734" spans="1:12" x14ac:dyDescent="0.2">
      <c r="A734" s="37"/>
      <c r="B734" s="37"/>
      <c r="C734" s="26"/>
      <c r="D734" s="10"/>
      <c r="E734" s="27"/>
      <c r="F734" s="28"/>
      <c r="G734" s="28"/>
      <c r="H734" s="29"/>
      <c r="I734" s="10"/>
      <c r="J734" s="30"/>
      <c r="K734" s="28"/>
      <c r="L734" s="29"/>
    </row>
    <row r="735" spans="1:12" x14ac:dyDescent="0.2">
      <c r="A735" s="37">
        <v>19</v>
      </c>
      <c r="B735" s="37" t="s">
        <v>63</v>
      </c>
      <c r="C735" s="26">
        <f>+F691</f>
        <v>53950</v>
      </c>
      <c r="D735" s="10"/>
      <c r="E735" s="27">
        <f>ROUND(C687/20,0)</f>
        <v>3</v>
      </c>
      <c r="F735" s="28">
        <f>F691*E735</f>
        <v>161850</v>
      </c>
      <c r="G735" s="28"/>
      <c r="H735" s="29">
        <f>SUM(F735:G735)</f>
        <v>161850</v>
      </c>
      <c r="I735" s="10"/>
      <c r="J735" s="30"/>
      <c r="K735" s="28">
        <f>F691*E735</f>
        <v>161850</v>
      </c>
      <c r="L735" s="29"/>
    </row>
    <row r="736" spans="1:12" x14ac:dyDescent="0.2">
      <c r="A736" s="37"/>
      <c r="B736" s="37"/>
      <c r="C736" s="26"/>
      <c r="D736" s="10"/>
      <c r="E736" s="27"/>
      <c r="F736" s="28"/>
      <c r="G736" s="28"/>
      <c r="H736" s="29"/>
      <c r="I736" s="10"/>
      <c r="J736" s="30"/>
      <c r="K736" s="28"/>
      <c r="L736" s="29"/>
    </row>
    <row r="737" spans="1:12" x14ac:dyDescent="0.2">
      <c r="A737" s="37">
        <v>20</v>
      </c>
      <c r="B737" s="37" t="s">
        <v>64</v>
      </c>
      <c r="C737" s="26">
        <f>+F691</f>
        <v>53950</v>
      </c>
      <c r="D737" s="10"/>
      <c r="E737" s="27">
        <f>ROUND(C688/20,0)</f>
        <v>3</v>
      </c>
      <c r="F737" s="28">
        <f>F691*E737</f>
        <v>161850</v>
      </c>
      <c r="G737" s="28"/>
      <c r="H737" s="29">
        <f>SUM(F737:G737)</f>
        <v>161850</v>
      </c>
      <c r="I737" s="10"/>
      <c r="J737" s="30"/>
      <c r="K737" s="28"/>
      <c r="L737" s="29">
        <f>F691*E737</f>
        <v>161850</v>
      </c>
    </row>
    <row r="738" spans="1:12" x14ac:dyDescent="0.2">
      <c r="A738" s="37"/>
      <c r="B738" s="37"/>
      <c r="C738" s="26"/>
      <c r="D738" s="10"/>
      <c r="E738" s="27"/>
      <c r="F738" s="28"/>
      <c r="G738" s="28"/>
      <c r="H738" s="29"/>
      <c r="I738" s="10"/>
      <c r="J738" s="30"/>
      <c r="K738" s="28"/>
      <c r="L738" s="29"/>
    </row>
    <row r="739" spans="1:12" x14ac:dyDescent="0.2">
      <c r="A739" s="37">
        <v>21</v>
      </c>
      <c r="B739" s="37" t="s">
        <v>65</v>
      </c>
      <c r="C739" s="31"/>
      <c r="D739" s="43"/>
      <c r="E739" s="27"/>
      <c r="F739" s="28"/>
      <c r="G739" s="28">
        <f>ROUND(125*C686,0)</f>
        <v>116000</v>
      </c>
      <c r="H739" s="29">
        <f>SUM(F739:G739)</f>
        <v>116000</v>
      </c>
      <c r="I739" s="10"/>
      <c r="J739" s="30" t="s">
        <v>62</v>
      </c>
      <c r="K739" s="29">
        <f>ROUND(125/2*C686,0)</f>
        <v>58000</v>
      </c>
      <c r="L739" s="29">
        <f>ROUND(125/2*C686,0)</f>
        <v>58000</v>
      </c>
    </row>
    <row r="740" spans="1:12" x14ac:dyDescent="0.2">
      <c r="A740" s="37"/>
      <c r="B740" s="37"/>
      <c r="C740" s="26"/>
      <c r="D740" s="10"/>
      <c r="E740" s="27"/>
      <c r="F740" s="28"/>
      <c r="G740" s="28"/>
      <c r="H740" s="29"/>
      <c r="I740" s="10"/>
      <c r="J740" s="30"/>
      <c r="K740" s="28"/>
      <c r="L740" s="29"/>
    </row>
    <row r="741" spans="1:12" x14ac:dyDescent="0.2">
      <c r="A741" s="37">
        <v>22</v>
      </c>
      <c r="B741" s="37" t="s">
        <v>66</v>
      </c>
      <c r="C741" s="26">
        <v>10000</v>
      </c>
      <c r="D741" s="10"/>
      <c r="E741" s="27"/>
      <c r="F741" s="28"/>
      <c r="G741" s="28">
        <f>((E700+E726+E731+E733+E735+E737)*10000)+10000</f>
        <v>130000</v>
      </c>
      <c r="H741" s="29">
        <f>SUM(F741:G741)</f>
        <v>130000</v>
      </c>
      <c r="I741" s="10"/>
      <c r="J741" s="30">
        <f>ROUND(10000*E700,0)</f>
        <v>10000</v>
      </c>
      <c r="K741" s="32">
        <f>(ROUND(10000*(+E735+E733+E731+E726),0))+10000</f>
        <v>90000</v>
      </c>
      <c r="L741" s="33">
        <f>ROUND(10000*E737,0)</f>
        <v>30000</v>
      </c>
    </row>
    <row r="742" spans="1:12" x14ac:dyDescent="0.2">
      <c r="A742" s="37"/>
      <c r="B742" s="37"/>
      <c r="C742" s="26"/>
      <c r="D742" s="10"/>
      <c r="E742" s="27"/>
      <c r="F742" s="28"/>
      <c r="G742" s="28"/>
      <c r="H742" s="29"/>
      <c r="I742" s="10"/>
      <c r="J742" s="30"/>
      <c r="K742" s="32"/>
      <c r="L742" s="33"/>
    </row>
    <row r="743" spans="1:12" x14ac:dyDescent="0.2">
      <c r="A743" s="37">
        <v>23</v>
      </c>
      <c r="B743" s="37" t="s">
        <v>82</v>
      </c>
      <c r="C743" s="26"/>
      <c r="D743" s="10"/>
      <c r="E743" s="27"/>
      <c r="F743" s="28"/>
      <c r="G743" s="28">
        <v>50000</v>
      </c>
      <c r="H743" s="29">
        <f>+G743</f>
        <v>50000</v>
      </c>
      <c r="I743" s="10"/>
      <c r="J743" s="30"/>
      <c r="K743" s="32"/>
      <c r="L743" s="33">
        <f>+H743</f>
        <v>50000</v>
      </c>
    </row>
    <row r="744" spans="1:12" x14ac:dyDescent="0.2">
      <c r="B744" s="2"/>
      <c r="C744" s="26"/>
      <c r="D744" s="10"/>
      <c r="E744" s="27"/>
      <c r="F744" s="28"/>
      <c r="G744" s="28"/>
      <c r="H744" s="29"/>
      <c r="I744" s="10"/>
      <c r="J744" s="30"/>
      <c r="K744" s="28"/>
      <c r="L744" s="29"/>
    </row>
    <row r="745" spans="1:12" ht="15.75" x14ac:dyDescent="0.25">
      <c r="B745" s="3" t="s">
        <v>67</v>
      </c>
      <c r="C745" s="44"/>
      <c r="D745" s="10"/>
      <c r="E745" s="45">
        <f>SUM(E698:E741)</f>
        <v>18</v>
      </c>
      <c r="F745" s="46">
        <f>SUM(F698:F743)</f>
        <v>1164408.2175</v>
      </c>
      <c r="G745" s="46">
        <f>SUM(G698:G743)</f>
        <v>639661</v>
      </c>
      <c r="H745" s="47">
        <f>SUM(H698:H744)</f>
        <v>1804069.2175</v>
      </c>
      <c r="I745" s="10"/>
      <c r="J745" s="48">
        <f>SUM(J698:J743)</f>
        <v>508760</v>
      </c>
      <c r="K745" s="46">
        <f>SUM(K698:K744)</f>
        <v>853307</v>
      </c>
      <c r="L745" s="47">
        <f>SUM(L698:L744)</f>
        <v>442004</v>
      </c>
    </row>
    <row r="746" spans="1:12" x14ac:dyDescent="0.2">
      <c r="B746" s="49"/>
      <c r="J746" s="50"/>
      <c r="L746" s="50"/>
    </row>
    <row r="747" spans="1:12" x14ac:dyDescent="0.2">
      <c r="B747" s="49"/>
      <c r="J747" s="50"/>
      <c r="L747" s="50"/>
    </row>
    <row r="748" spans="1:12" x14ac:dyDescent="0.2">
      <c r="A748" s="37">
        <v>24</v>
      </c>
      <c r="B748" s="55" t="s">
        <v>68</v>
      </c>
      <c r="C748" s="8"/>
      <c r="D748" s="8"/>
      <c r="E748" s="11"/>
      <c r="L748" s="10">
        <f>+J745+K745+L745</f>
        <v>1804071</v>
      </c>
    </row>
    <row r="749" spans="1:12" x14ac:dyDescent="0.2">
      <c r="A749" s="37">
        <v>25</v>
      </c>
      <c r="B749" s="55" t="s">
        <v>69</v>
      </c>
      <c r="C749" s="7"/>
      <c r="D749" s="7"/>
      <c r="E749" s="11"/>
      <c r="L749" s="10">
        <v>917295</v>
      </c>
    </row>
    <row r="750" spans="1:12" ht="15.75" x14ac:dyDescent="0.25">
      <c r="A750" s="37">
        <v>26</v>
      </c>
      <c r="B750" s="55" t="s">
        <v>182</v>
      </c>
      <c r="C750" s="7"/>
      <c r="D750" s="7"/>
      <c r="E750" s="11"/>
      <c r="J750" s="10" t="s">
        <v>62</v>
      </c>
      <c r="L750" s="51">
        <f>+L748-L749</f>
        <v>886776</v>
      </c>
    </row>
    <row r="751" spans="1:12" x14ac:dyDescent="0.2">
      <c r="B751" s="8"/>
      <c r="C751" s="7"/>
      <c r="D751" s="7"/>
      <c r="E751" s="11"/>
      <c r="J751" s="10"/>
      <c r="L751" s="10"/>
    </row>
    <row r="752" spans="1:12" ht="78.75" x14ac:dyDescent="0.25">
      <c r="B752" s="8"/>
      <c r="C752" s="7"/>
      <c r="D752" s="7"/>
      <c r="E752" s="11"/>
      <c r="J752" s="51" t="s">
        <v>71</v>
      </c>
      <c r="K752" s="52" t="s">
        <v>72</v>
      </c>
      <c r="L752" s="53" t="s">
        <v>73</v>
      </c>
    </row>
    <row r="753" spans="1:12" ht="15.75" x14ac:dyDescent="0.25">
      <c r="B753" s="8" t="s">
        <v>74</v>
      </c>
      <c r="C753" s="7"/>
      <c r="D753" s="7"/>
      <c r="E753" s="11"/>
      <c r="J753" s="10">
        <f>+J745+K745</f>
        <v>1362067</v>
      </c>
      <c r="K753" s="10">
        <f>+L749</f>
        <v>917295</v>
      </c>
      <c r="L753" s="51">
        <f>+J753-K753</f>
        <v>444772</v>
      </c>
    </row>
    <row r="754" spans="1:12" ht="15.75" x14ac:dyDescent="0.25">
      <c r="B754" s="54" t="s">
        <v>75</v>
      </c>
      <c r="C754" s="7"/>
      <c r="D754" s="7"/>
      <c r="E754" s="11"/>
      <c r="J754" s="10">
        <f>+L745</f>
        <v>442004</v>
      </c>
      <c r="K754" s="10" t="s">
        <v>62</v>
      </c>
      <c r="L754" s="51">
        <f>+J754</f>
        <v>442004</v>
      </c>
    </row>
    <row r="757" spans="1:12" x14ac:dyDescent="0.2">
      <c r="A757" s="1" t="s">
        <v>23</v>
      </c>
      <c r="B757" s="2"/>
    </row>
    <row r="758" spans="1:12" ht="15.75" x14ac:dyDescent="0.25">
      <c r="A758" s="56" t="s">
        <v>24</v>
      </c>
      <c r="B758" s="3"/>
      <c r="C758" s="56" t="s">
        <v>14</v>
      </c>
    </row>
    <row r="759" spans="1:12" x14ac:dyDescent="0.2">
      <c r="A759" s="55" t="s">
        <v>26</v>
      </c>
      <c r="B759" s="2"/>
    </row>
    <row r="760" spans="1:12" x14ac:dyDescent="0.2">
      <c r="B760" s="2"/>
      <c r="C760" s="4"/>
      <c r="D760" s="4"/>
    </row>
    <row r="761" spans="1:12" x14ac:dyDescent="0.2">
      <c r="B761" s="2"/>
      <c r="C761" s="5"/>
      <c r="D761" s="5"/>
    </row>
    <row r="762" spans="1:12" ht="15.75" x14ac:dyDescent="0.25">
      <c r="A762" s="55" t="s">
        <v>27</v>
      </c>
      <c r="B762" s="2"/>
      <c r="C762" s="6">
        <v>1467</v>
      </c>
      <c r="D762" s="4"/>
      <c r="E762" s="7"/>
    </row>
    <row r="763" spans="1:12" ht="15.75" x14ac:dyDescent="0.25">
      <c r="A763" s="55" t="s">
        <v>28</v>
      </c>
      <c r="B763" s="2"/>
      <c r="C763" s="6">
        <f>C762*0.06</f>
        <v>88.02</v>
      </c>
      <c r="D763" s="4"/>
      <c r="E763" s="7"/>
    </row>
    <row r="764" spans="1:12" ht="15.75" x14ac:dyDescent="0.25">
      <c r="A764" s="55" t="s">
        <v>29</v>
      </c>
      <c r="B764" s="2"/>
      <c r="C764" s="6">
        <f>C762/3*0.2</f>
        <v>97.800000000000011</v>
      </c>
      <c r="D764" s="6"/>
      <c r="E764" s="7"/>
    </row>
    <row r="765" spans="1:12" ht="15.75" x14ac:dyDescent="0.25">
      <c r="B765" s="2" t="s">
        <v>30</v>
      </c>
      <c r="C765" s="6"/>
      <c r="D765" s="4"/>
      <c r="E765" s="7"/>
    </row>
    <row r="766" spans="1:12" x14ac:dyDescent="0.2">
      <c r="B766" s="2"/>
    </row>
    <row r="767" spans="1:12" x14ac:dyDescent="0.2">
      <c r="A767" s="7" t="s">
        <v>31</v>
      </c>
      <c r="B767" s="8"/>
      <c r="D767" s="9"/>
      <c r="F767" s="9">
        <v>53950</v>
      </c>
      <c r="H767" s="10"/>
      <c r="I767" s="10"/>
    </row>
    <row r="768" spans="1:12" x14ac:dyDescent="0.2">
      <c r="A768" s="7" t="s">
        <v>32</v>
      </c>
      <c r="B768" s="8"/>
      <c r="D768" s="9"/>
      <c r="F768" s="9">
        <v>59350</v>
      </c>
      <c r="H768" s="10"/>
      <c r="I768" s="10"/>
    </row>
    <row r="769" spans="1:12" x14ac:dyDescent="0.2">
      <c r="A769" s="7" t="s">
        <v>33</v>
      </c>
      <c r="B769" s="8"/>
      <c r="D769" s="9"/>
      <c r="F769" s="9">
        <v>36150</v>
      </c>
      <c r="H769" s="10"/>
      <c r="I769" s="10"/>
    </row>
    <row r="770" spans="1:12" x14ac:dyDescent="0.2">
      <c r="A770" s="7"/>
      <c r="B770" s="8"/>
      <c r="C770" s="11"/>
      <c r="D770" s="11"/>
      <c r="H770" s="10"/>
      <c r="I770" s="10"/>
    </row>
    <row r="771" spans="1:12" ht="15.75" x14ac:dyDescent="0.25">
      <c r="B771" s="2"/>
      <c r="J771" s="12" t="s">
        <v>34</v>
      </c>
      <c r="K771" s="412" t="s">
        <v>35</v>
      </c>
      <c r="L771" s="413"/>
    </row>
    <row r="772" spans="1:12" ht="31.5" x14ac:dyDescent="0.25">
      <c r="A772" s="56" t="s">
        <v>36</v>
      </c>
      <c r="B772" s="13"/>
      <c r="C772" s="14" t="s">
        <v>37</v>
      </c>
      <c r="D772" s="15"/>
      <c r="E772" s="12" t="s">
        <v>38</v>
      </c>
      <c r="F772" s="12" t="s">
        <v>39</v>
      </c>
      <c r="G772" s="12" t="s">
        <v>40</v>
      </c>
      <c r="H772" s="12" t="s">
        <v>0</v>
      </c>
      <c r="I772" s="16"/>
      <c r="J772" s="14" t="s">
        <v>41</v>
      </c>
      <c r="K772" s="17" t="s">
        <v>42</v>
      </c>
      <c r="L772" s="12" t="s">
        <v>43</v>
      </c>
    </row>
    <row r="773" spans="1:12" ht="15.75" x14ac:dyDescent="0.25">
      <c r="A773" s="18"/>
      <c r="B773" s="13"/>
      <c r="C773" s="19"/>
      <c r="D773" s="15"/>
      <c r="E773" s="20"/>
      <c r="F773" s="21"/>
      <c r="G773" s="21"/>
      <c r="H773" s="22"/>
      <c r="I773" s="16"/>
      <c r="J773" s="23"/>
      <c r="K773" s="24"/>
      <c r="L773" s="25"/>
    </row>
    <row r="774" spans="1:12" x14ac:dyDescent="0.2">
      <c r="A774" s="55">
        <v>1</v>
      </c>
      <c r="B774" s="2" t="s">
        <v>44</v>
      </c>
      <c r="C774" s="26">
        <v>50000</v>
      </c>
      <c r="D774" s="10"/>
      <c r="E774" s="27"/>
      <c r="F774" s="28"/>
      <c r="G774" s="28">
        <f>+C774</f>
        <v>50000</v>
      </c>
      <c r="H774" s="29">
        <f>SUM(F774+G774)</f>
        <v>50000</v>
      </c>
      <c r="I774" s="10"/>
      <c r="J774" s="30">
        <f>+H774</f>
        <v>50000</v>
      </c>
      <c r="K774" s="28"/>
      <c r="L774" s="29"/>
    </row>
    <row r="775" spans="1:12" x14ac:dyDescent="0.2">
      <c r="B775" s="2"/>
      <c r="C775" s="26"/>
      <c r="D775" s="10"/>
      <c r="E775" s="27"/>
      <c r="F775" s="28"/>
      <c r="G775" s="28"/>
      <c r="H775" s="29"/>
      <c r="I775" s="10"/>
      <c r="J775" s="30"/>
      <c r="K775" s="28"/>
      <c r="L775" s="29"/>
    </row>
    <row r="776" spans="1:12" x14ac:dyDescent="0.2">
      <c r="A776" s="55">
        <v>2</v>
      </c>
      <c r="B776" s="2" t="s">
        <v>45</v>
      </c>
      <c r="C776" s="26">
        <v>77000</v>
      </c>
      <c r="D776" s="10"/>
      <c r="E776" s="27">
        <v>1</v>
      </c>
      <c r="F776" s="28">
        <f>+C776*E776</f>
        <v>77000</v>
      </c>
      <c r="G776" s="28"/>
      <c r="H776" s="29">
        <f>SUM(F776+G776)</f>
        <v>77000</v>
      </c>
      <c r="I776" s="10"/>
      <c r="J776" s="30">
        <f>+H776</f>
        <v>77000</v>
      </c>
      <c r="K776" s="28"/>
      <c r="L776" s="29"/>
    </row>
    <row r="777" spans="1:12" x14ac:dyDescent="0.2">
      <c r="B777" s="2"/>
      <c r="C777" s="26"/>
      <c r="D777" s="10"/>
      <c r="E777" s="27"/>
      <c r="F777" s="28"/>
      <c r="G777" s="28"/>
      <c r="H777" s="29"/>
      <c r="I777" s="10"/>
      <c r="J777" s="30"/>
      <c r="K777" s="28"/>
      <c r="L777" s="29"/>
    </row>
    <row r="778" spans="1:12" ht="30" x14ac:dyDescent="0.2">
      <c r="A778" s="55">
        <v>3</v>
      </c>
      <c r="B778" s="2" t="s">
        <v>81</v>
      </c>
      <c r="C778" s="26">
        <f>+F768</f>
        <v>59350</v>
      </c>
      <c r="D778" s="10"/>
      <c r="E778" s="27">
        <v>1</v>
      </c>
      <c r="F778" s="28">
        <f>+C778*E778</f>
        <v>59350</v>
      </c>
      <c r="G778" s="28"/>
      <c r="H778" s="29">
        <f>SUM(F778+G778)</f>
        <v>59350</v>
      </c>
      <c r="I778" s="10"/>
      <c r="J778" s="30">
        <f>+H778</f>
        <v>59350</v>
      </c>
      <c r="K778" s="28"/>
      <c r="L778" s="29"/>
    </row>
    <row r="779" spans="1:12" x14ac:dyDescent="0.2">
      <c r="B779" s="2"/>
      <c r="C779" s="26"/>
      <c r="D779" s="10"/>
      <c r="E779" s="27"/>
      <c r="F779" s="28"/>
      <c r="G779" s="28"/>
      <c r="H779" s="29"/>
      <c r="I779" s="10"/>
      <c r="J779" s="30"/>
      <c r="K779" s="28"/>
      <c r="L779" s="29"/>
    </row>
    <row r="780" spans="1:12" x14ac:dyDescent="0.2">
      <c r="A780" s="55">
        <v>4</v>
      </c>
      <c r="B780" s="2" t="s">
        <v>46</v>
      </c>
      <c r="C780" s="26">
        <v>39300</v>
      </c>
      <c r="D780" s="10"/>
      <c r="E780" s="27">
        <v>1</v>
      </c>
      <c r="F780" s="28">
        <f>+C780*E780</f>
        <v>39300</v>
      </c>
      <c r="G780" s="28"/>
      <c r="H780" s="29">
        <f>SUM(F780+G780)</f>
        <v>39300</v>
      </c>
      <c r="I780" s="10"/>
      <c r="J780" s="30">
        <f>+H780</f>
        <v>39300</v>
      </c>
      <c r="K780" s="28"/>
      <c r="L780" s="29"/>
    </row>
    <row r="781" spans="1:12" x14ac:dyDescent="0.2">
      <c r="B781" s="2"/>
      <c r="C781" s="26"/>
      <c r="D781" s="10"/>
      <c r="E781" s="27"/>
      <c r="F781" s="28"/>
      <c r="G781" s="28"/>
      <c r="H781" s="29"/>
      <c r="I781" s="10"/>
      <c r="J781" s="30"/>
      <c r="K781" s="28"/>
      <c r="L781" s="29"/>
    </row>
    <row r="782" spans="1:12" x14ac:dyDescent="0.2">
      <c r="A782" s="55">
        <v>5</v>
      </c>
      <c r="B782" s="2" t="s">
        <v>47</v>
      </c>
      <c r="C782" s="26">
        <v>36000</v>
      </c>
      <c r="D782" s="10"/>
      <c r="E782" s="27">
        <v>1</v>
      </c>
      <c r="F782" s="28">
        <f>+C782*E782</f>
        <v>36000</v>
      </c>
      <c r="G782" s="28"/>
      <c r="H782" s="29">
        <f>SUM(F782+G782)</f>
        <v>36000</v>
      </c>
      <c r="I782" s="10"/>
      <c r="J782" s="30">
        <f>+H782</f>
        <v>36000</v>
      </c>
      <c r="K782" s="28"/>
      <c r="L782" s="29"/>
    </row>
    <row r="783" spans="1:12" x14ac:dyDescent="0.2">
      <c r="B783" s="2"/>
      <c r="C783" s="26"/>
      <c r="D783" s="10"/>
      <c r="E783" s="27"/>
      <c r="F783" s="28"/>
      <c r="G783" s="28"/>
      <c r="H783" s="29"/>
      <c r="I783" s="10"/>
      <c r="J783" s="30"/>
      <c r="K783" s="28"/>
      <c r="L783" s="29"/>
    </row>
    <row r="784" spans="1:12" x14ac:dyDescent="0.2">
      <c r="A784" s="55">
        <v>6</v>
      </c>
      <c r="B784" s="2" t="s">
        <v>48</v>
      </c>
      <c r="C784" s="26">
        <v>51000</v>
      </c>
      <c r="D784" s="10"/>
      <c r="E784" s="27">
        <v>1</v>
      </c>
      <c r="F784" s="28">
        <f>+C784*E784</f>
        <v>51000</v>
      </c>
      <c r="G784" s="28"/>
      <c r="H784" s="29">
        <f>SUM(F784+G784)</f>
        <v>51000</v>
      </c>
      <c r="I784" s="10"/>
      <c r="J784" s="30">
        <f>+H784</f>
        <v>51000</v>
      </c>
      <c r="K784" s="28"/>
      <c r="L784" s="29"/>
    </row>
    <row r="785" spans="1:12" x14ac:dyDescent="0.2">
      <c r="B785" s="2"/>
      <c r="C785" s="26"/>
      <c r="D785" s="10"/>
      <c r="E785" s="27"/>
      <c r="F785" s="28"/>
      <c r="G785" s="28"/>
      <c r="H785" s="29"/>
      <c r="I785" s="10"/>
      <c r="J785" s="30"/>
      <c r="K785" s="28"/>
      <c r="L785" s="29"/>
    </row>
    <row r="786" spans="1:12" x14ac:dyDescent="0.2">
      <c r="A786" s="55">
        <v>7</v>
      </c>
      <c r="B786" s="2" t="s">
        <v>49</v>
      </c>
      <c r="C786" s="31">
        <v>0</v>
      </c>
      <c r="D786" s="10"/>
      <c r="E786" s="27"/>
      <c r="F786" s="28"/>
      <c r="G786" s="32">
        <v>0</v>
      </c>
      <c r="H786" s="33">
        <v>0</v>
      </c>
      <c r="I786" s="10"/>
      <c r="J786" s="34">
        <f>+H786</f>
        <v>0</v>
      </c>
      <c r="K786" s="32">
        <v>0</v>
      </c>
      <c r="L786" s="33">
        <v>0</v>
      </c>
    </row>
    <row r="787" spans="1:12" x14ac:dyDescent="0.2">
      <c r="B787" s="2"/>
      <c r="C787" s="26"/>
      <c r="D787" s="10"/>
      <c r="E787" s="27"/>
      <c r="F787" s="28"/>
      <c r="G787" s="28"/>
      <c r="H787" s="29"/>
      <c r="I787" s="10"/>
      <c r="J787" s="30"/>
      <c r="K787" s="28"/>
      <c r="L787" s="29"/>
    </row>
    <row r="788" spans="1:12" x14ac:dyDescent="0.2">
      <c r="A788" s="55">
        <v>8</v>
      </c>
      <c r="B788" s="2" t="s">
        <v>50</v>
      </c>
      <c r="C788" s="26">
        <v>13000</v>
      </c>
      <c r="D788" s="10"/>
      <c r="E788" s="27"/>
      <c r="F788" s="28"/>
      <c r="G788" s="28">
        <f>+C788</f>
        <v>13000</v>
      </c>
      <c r="H788" s="29">
        <f>SUM(F788+G788)</f>
        <v>13000</v>
      </c>
      <c r="I788" s="10"/>
      <c r="J788" s="30">
        <f>+H788</f>
        <v>13000</v>
      </c>
      <c r="K788" s="28"/>
      <c r="L788" s="29"/>
    </row>
    <row r="789" spans="1:12" x14ac:dyDescent="0.2">
      <c r="B789" s="2"/>
      <c r="C789" s="26"/>
      <c r="D789" s="10"/>
      <c r="E789" s="27"/>
      <c r="F789" s="28"/>
      <c r="G789" s="28"/>
      <c r="H789" s="29"/>
      <c r="I789" s="10"/>
      <c r="J789" s="30"/>
      <c r="K789" s="28"/>
      <c r="L789" s="29"/>
    </row>
    <row r="790" spans="1:12" x14ac:dyDescent="0.2">
      <c r="A790" s="55">
        <v>9</v>
      </c>
      <c r="B790" s="2" t="s">
        <v>51</v>
      </c>
      <c r="C790" s="26">
        <v>30000</v>
      </c>
      <c r="D790" s="10"/>
      <c r="E790" s="27"/>
      <c r="F790" s="28"/>
      <c r="G790" s="28">
        <f>+C790</f>
        <v>30000</v>
      </c>
      <c r="H790" s="29">
        <f>SUM(F790+G790)</f>
        <v>30000</v>
      </c>
      <c r="I790" s="10"/>
      <c r="J790" s="30">
        <f>+H790</f>
        <v>30000</v>
      </c>
      <c r="K790" s="28"/>
      <c r="L790" s="29"/>
    </row>
    <row r="791" spans="1:12" x14ac:dyDescent="0.2">
      <c r="B791" s="2"/>
      <c r="C791" s="26"/>
      <c r="D791" s="10"/>
      <c r="E791" s="27"/>
      <c r="F791" s="28"/>
      <c r="G791" s="28"/>
      <c r="H791" s="29"/>
      <c r="I791" s="10"/>
      <c r="J791" s="30"/>
      <c r="K791" s="28"/>
      <c r="L791" s="29"/>
    </row>
    <row r="792" spans="1:12" x14ac:dyDescent="0.2">
      <c r="A792" s="55">
        <v>10</v>
      </c>
      <c r="B792" s="2" t="s">
        <v>52</v>
      </c>
      <c r="C792" s="26">
        <v>40000</v>
      </c>
      <c r="D792" s="10"/>
      <c r="E792" s="27"/>
      <c r="F792" s="28"/>
      <c r="G792" s="28">
        <f>+C792</f>
        <v>40000</v>
      </c>
      <c r="H792" s="29">
        <f>SUM(F792+G792)</f>
        <v>40000</v>
      </c>
      <c r="I792" s="10"/>
      <c r="J792" s="30">
        <f>+H792</f>
        <v>40000</v>
      </c>
      <c r="K792" s="28"/>
      <c r="L792" s="29"/>
    </row>
    <row r="793" spans="1:12" x14ac:dyDescent="0.2">
      <c r="B793" s="2"/>
      <c r="C793" s="26"/>
      <c r="D793" s="10"/>
      <c r="E793" s="27"/>
      <c r="F793" s="28"/>
      <c r="G793" s="28"/>
      <c r="H793" s="29"/>
      <c r="I793" s="10"/>
      <c r="J793" s="30"/>
      <c r="K793" s="28"/>
      <c r="L793" s="29"/>
    </row>
    <row r="794" spans="1:12" ht="30" x14ac:dyDescent="0.2">
      <c r="A794" s="55">
        <v>11</v>
      </c>
      <c r="B794" s="2" t="s">
        <v>53</v>
      </c>
      <c r="C794" s="26"/>
      <c r="D794" s="10"/>
      <c r="E794" s="27"/>
      <c r="F794" s="28"/>
      <c r="G794" s="28">
        <f>ROUND((F776+F778+F780+F782+F784+F796+F800+F802+F804+F807+F809+F811+F813)*0.15,0)</f>
        <v>233391</v>
      </c>
      <c r="H794" s="60">
        <f>SUM(F794+G794)</f>
        <v>233391</v>
      </c>
      <c r="I794" s="10"/>
      <c r="J794" s="30">
        <f>ROUND((SUM(F776:F784)*0.15),0)</f>
        <v>39398</v>
      </c>
      <c r="K794" s="32">
        <f>ROUND(SUM(F796:F811)*0.15,0)</f>
        <v>153531</v>
      </c>
      <c r="L794" s="33">
        <f>ROUND(F813*0.15,0)</f>
        <v>40463</v>
      </c>
    </row>
    <row r="795" spans="1:12" x14ac:dyDescent="0.2">
      <c r="B795" s="2"/>
      <c r="C795" s="26"/>
      <c r="D795" s="10"/>
      <c r="E795" s="27"/>
      <c r="F795" s="28"/>
      <c r="G795" s="28"/>
      <c r="H795" s="29"/>
      <c r="I795" s="10"/>
      <c r="J795" s="30"/>
      <c r="K795" s="32"/>
      <c r="L795" s="33"/>
    </row>
    <row r="796" spans="1:12" x14ac:dyDescent="0.2">
      <c r="A796" s="55">
        <v>12</v>
      </c>
      <c r="B796" s="2" t="s">
        <v>54</v>
      </c>
      <c r="C796" s="26"/>
      <c r="D796" s="10"/>
      <c r="E796" s="27"/>
      <c r="F796" s="28">
        <f>(F776+F778+F780+F782+F784+F800+F802+F804+F807+F809+F811+F813)*0.2045</f>
        <v>264167.47625000001</v>
      </c>
      <c r="G796" s="28"/>
      <c r="H796" s="29">
        <f>(+H776+H778+H780+H782+H784+H800+H802+H804+H807+H809+H811+H813)*0.2045</f>
        <v>264167.47625000001</v>
      </c>
      <c r="I796" s="10"/>
      <c r="J796" s="30">
        <f>ROUND((SUM(F776:F784)*0.2045),0)</f>
        <v>53712</v>
      </c>
      <c r="K796" s="32">
        <f>ROUND((SUM(F800:F811)*0.2045),0)</f>
        <v>155292</v>
      </c>
      <c r="L796" s="33">
        <f>ROUND(F813*0.2045,0)</f>
        <v>55164</v>
      </c>
    </row>
    <row r="797" spans="1:12" x14ac:dyDescent="0.2">
      <c r="B797" s="2"/>
      <c r="C797" s="26"/>
      <c r="D797" s="10"/>
      <c r="E797" s="27"/>
      <c r="F797" s="28"/>
      <c r="G797" s="28"/>
      <c r="H797" s="29"/>
      <c r="I797" s="10"/>
      <c r="J797" s="30"/>
      <c r="K797" s="32"/>
      <c r="L797" s="33"/>
    </row>
    <row r="798" spans="1:12" x14ac:dyDescent="0.2">
      <c r="A798" s="55">
        <v>13</v>
      </c>
      <c r="B798" s="2" t="s">
        <v>55</v>
      </c>
      <c r="C798" s="26">
        <v>2000</v>
      </c>
      <c r="D798" s="10"/>
      <c r="E798" s="27"/>
      <c r="F798" s="28"/>
      <c r="G798" s="28">
        <f>E821*2000</f>
        <v>48000</v>
      </c>
      <c r="H798" s="29">
        <f>SUM(F798:G798)</f>
        <v>48000</v>
      </c>
      <c r="I798" s="10"/>
      <c r="J798" s="30">
        <f>(E776+E778+E780+E782+E784)*2000</f>
        <v>10000</v>
      </c>
      <c r="K798" s="32">
        <f>ROUND(SUM(E802:E811)*2000,0)</f>
        <v>28000</v>
      </c>
      <c r="L798" s="33">
        <f>ROUND(E813*2000,0)</f>
        <v>10000</v>
      </c>
    </row>
    <row r="799" spans="1:12" x14ac:dyDescent="0.2">
      <c r="B799" s="2"/>
      <c r="C799" s="26"/>
      <c r="D799" s="10"/>
      <c r="E799" s="27"/>
      <c r="F799" s="28"/>
      <c r="G799" s="28"/>
      <c r="H799" s="29"/>
      <c r="I799" s="10"/>
      <c r="J799" s="30"/>
      <c r="K799" s="32"/>
      <c r="L799" s="33"/>
    </row>
    <row r="800" spans="1:12" ht="30" x14ac:dyDescent="0.2">
      <c r="A800" s="55">
        <v>14</v>
      </c>
      <c r="B800" s="2" t="s">
        <v>56</v>
      </c>
      <c r="C800" s="26"/>
      <c r="D800" s="10"/>
      <c r="E800" s="27"/>
      <c r="F800" s="28">
        <f>(F807+F811+F813+F802)*0.05</f>
        <v>41272.5</v>
      </c>
      <c r="G800" s="28"/>
      <c r="H800" s="29">
        <f>SUM(F800:G800)</f>
        <v>41272.5</v>
      </c>
      <c r="I800" s="10"/>
      <c r="J800" s="30"/>
      <c r="K800" s="32">
        <f>ROUND((+F802+F807+F811)*0.05,0)</f>
        <v>27785</v>
      </c>
      <c r="L800" s="33">
        <f>ROUND(F813*0.05,0)</f>
        <v>13488</v>
      </c>
    </row>
    <row r="801" spans="1:12" x14ac:dyDescent="0.2">
      <c r="B801" s="2"/>
      <c r="C801" s="26"/>
      <c r="D801" s="10"/>
      <c r="E801" s="27"/>
      <c r="F801" s="28"/>
      <c r="G801" s="28"/>
      <c r="H801" s="29"/>
      <c r="I801" s="10"/>
      <c r="J801" s="30"/>
      <c r="K801" s="28"/>
      <c r="L801" s="29"/>
    </row>
    <row r="802" spans="1:12" x14ac:dyDescent="0.2">
      <c r="A802" s="55">
        <v>15</v>
      </c>
      <c r="B802" s="2" t="s">
        <v>57</v>
      </c>
      <c r="C802" s="26">
        <f>+F768</f>
        <v>59350</v>
      </c>
      <c r="D802" s="10"/>
      <c r="E802" s="27">
        <f>ROUND((E813+E811+E809+E807+E804)/6,0)</f>
        <v>3</v>
      </c>
      <c r="F802" s="28">
        <f>F768*E802</f>
        <v>178050</v>
      </c>
      <c r="G802" s="28"/>
      <c r="H802" s="29">
        <f>SUM(F802:G802)</f>
        <v>178050</v>
      </c>
      <c r="I802" s="10"/>
      <c r="J802" s="27"/>
      <c r="K802" s="32">
        <f>ROUND(F802*((+E$49+E$51+E$53)/(E$49+E$51+E$53+E$55)),0)</f>
        <v>112157</v>
      </c>
      <c r="L802" s="33">
        <f>ROUND((+F802*(E$55/(+E$49+E$51+E$53+E$55))),0)</f>
        <v>65893</v>
      </c>
    </row>
    <row r="803" spans="1:12" x14ac:dyDescent="0.2">
      <c r="B803" s="2"/>
      <c r="C803" s="26"/>
      <c r="D803" s="10"/>
      <c r="E803" s="27"/>
      <c r="F803" s="28"/>
      <c r="G803" s="28"/>
      <c r="H803" s="29"/>
      <c r="I803" s="10"/>
      <c r="J803" s="30"/>
      <c r="K803" s="28"/>
      <c r="L803" s="29"/>
    </row>
    <row r="804" spans="1:12" x14ac:dyDescent="0.2">
      <c r="A804" s="55">
        <v>16</v>
      </c>
      <c r="B804" s="2" t="s">
        <v>58</v>
      </c>
      <c r="C804" s="26">
        <f>+F769</f>
        <v>36150</v>
      </c>
      <c r="D804" s="10"/>
      <c r="E804" s="27">
        <f>ROUND((E813+E811+E809+E807)/5,0)</f>
        <v>3</v>
      </c>
      <c r="F804" s="28">
        <f>F769*E804</f>
        <v>108450</v>
      </c>
      <c r="G804" s="28"/>
      <c r="H804" s="29">
        <f>SUM(F804:G804)</f>
        <v>108450</v>
      </c>
      <c r="I804" s="10"/>
      <c r="J804" s="30"/>
      <c r="K804" s="32">
        <f>ROUND(F804*((+E$49+E$51+E$53)/(E$49+E$51+E$53+E$55)),0)</f>
        <v>68315</v>
      </c>
      <c r="L804" s="33">
        <f>ROUND((+F804*(E$55/(+E$49+E$51+E$53+E$55))),0)</f>
        <v>40135</v>
      </c>
    </row>
    <row r="805" spans="1:12" x14ac:dyDescent="0.2">
      <c r="B805" s="2"/>
      <c r="C805" s="26"/>
      <c r="D805" s="10"/>
      <c r="E805" s="27"/>
      <c r="F805" s="28"/>
      <c r="G805" s="28"/>
      <c r="H805" s="29"/>
      <c r="I805" s="10"/>
      <c r="J805" s="30"/>
      <c r="K805" s="28"/>
      <c r="L805" s="29"/>
    </row>
    <row r="806" spans="1:12" ht="15.75" x14ac:dyDescent="0.25">
      <c r="A806" s="18" t="s">
        <v>59</v>
      </c>
      <c r="B806" s="2"/>
      <c r="C806" s="26"/>
      <c r="D806" s="10"/>
      <c r="E806" s="27"/>
      <c r="F806" s="28"/>
      <c r="G806" s="28"/>
      <c r="H806" s="29"/>
      <c r="I806" s="10"/>
      <c r="J806" s="30"/>
      <c r="K806" s="28"/>
      <c r="L806" s="29"/>
    </row>
    <row r="807" spans="1:12" x14ac:dyDescent="0.2">
      <c r="A807" s="36">
        <v>17</v>
      </c>
      <c r="B807" s="37" t="s">
        <v>60</v>
      </c>
      <c r="C807" s="38">
        <f>+F767</f>
        <v>53950</v>
      </c>
      <c r="D807" s="39"/>
      <c r="E807" s="40">
        <f>ROUND(C763/30,0)</f>
        <v>3</v>
      </c>
      <c r="F807" s="41">
        <f>F767*E807</f>
        <v>161850</v>
      </c>
      <c r="G807" s="41"/>
      <c r="H807" s="35">
        <f>SUM(F807:G807)</f>
        <v>161850</v>
      </c>
      <c r="I807" s="39"/>
      <c r="J807" s="42"/>
      <c r="K807" s="28">
        <f>F767*E807</f>
        <v>161850</v>
      </c>
      <c r="L807" s="29"/>
    </row>
    <row r="808" spans="1:12" x14ac:dyDescent="0.2">
      <c r="A808" s="37"/>
      <c r="B808" s="37"/>
      <c r="C808" s="26"/>
      <c r="D808" s="10"/>
      <c r="E808" s="27"/>
      <c r="F808" s="28"/>
      <c r="G808" s="28"/>
      <c r="H808" s="29"/>
      <c r="I808" s="10"/>
      <c r="J808" s="30"/>
      <c r="K808" s="28"/>
      <c r="L808" s="29"/>
    </row>
    <row r="809" spans="1:12" ht="30" x14ac:dyDescent="0.2">
      <c r="A809" s="36">
        <v>18</v>
      </c>
      <c r="B809" s="37" t="s">
        <v>61</v>
      </c>
      <c r="C809" s="26">
        <f>+F767</f>
        <v>53950</v>
      </c>
      <c r="D809" s="10"/>
      <c r="E809" s="27">
        <v>1</v>
      </c>
      <c r="F809" s="28">
        <f>F767*E809</f>
        <v>53950</v>
      </c>
      <c r="G809" s="28"/>
      <c r="H809" s="29">
        <f>SUM(F809:G809)</f>
        <v>53950</v>
      </c>
      <c r="I809" s="10"/>
      <c r="J809" s="30" t="s">
        <v>62</v>
      </c>
      <c r="K809" s="28">
        <f>ROUND(E809*F767,0)</f>
        <v>53950</v>
      </c>
      <c r="L809" s="29"/>
    </row>
    <row r="810" spans="1:12" x14ac:dyDescent="0.2">
      <c r="A810" s="37"/>
      <c r="B810" s="37"/>
      <c r="C810" s="26"/>
      <c r="D810" s="10"/>
      <c r="E810" s="27"/>
      <c r="F810" s="28"/>
      <c r="G810" s="28"/>
      <c r="H810" s="29"/>
      <c r="I810" s="10"/>
      <c r="J810" s="30"/>
      <c r="K810" s="28"/>
      <c r="L810" s="29"/>
    </row>
    <row r="811" spans="1:12" x14ac:dyDescent="0.2">
      <c r="A811" s="37">
        <v>19</v>
      </c>
      <c r="B811" s="37" t="s">
        <v>63</v>
      </c>
      <c r="C811" s="26">
        <f>+F767</f>
        <v>53950</v>
      </c>
      <c r="D811" s="10"/>
      <c r="E811" s="27">
        <f>ROUND(C763/20,0)</f>
        <v>4</v>
      </c>
      <c r="F811" s="28">
        <f>F767*E811</f>
        <v>215800</v>
      </c>
      <c r="G811" s="28"/>
      <c r="H811" s="29">
        <f>SUM(F811:G811)</f>
        <v>215800</v>
      </c>
      <c r="I811" s="10"/>
      <c r="J811" s="30"/>
      <c r="K811" s="28">
        <f>F767*E811</f>
        <v>215800</v>
      </c>
      <c r="L811" s="29"/>
    </row>
    <row r="812" spans="1:12" x14ac:dyDescent="0.2">
      <c r="A812" s="37"/>
      <c r="B812" s="37"/>
      <c r="C812" s="26"/>
      <c r="D812" s="10"/>
      <c r="E812" s="27"/>
      <c r="F812" s="28"/>
      <c r="G812" s="28"/>
      <c r="H812" s="29"/>
      <c r="I812" s="10"/>
      <c r="J812" s="30"/>
      <c r="K812" s="28"/>
      <c r="L812" s="29"/>
    </row>
    <row r="813" spans="1:12" x14ac:dyDescent="0.2">
      <c r="A813" s="37">
        <v>20</v>
      </c>
      <c r="B813" s="37" t="s">
        <v>64</v>
      </c>
      <c r="C813" s="26">
        <f>+F767</f>
        <v>53950</v>
      </c>
      <c r="D813" s="10"/>
      <c r="E813" s="27">
        <f>ROUND(C764/20,0)</f>
        <v>5</v>
      </c>
      <c r="F813" s="28">
        <f>F767*E813</f>
        <v>269750</v>
      </c>
      <c r="G813" s="28"/>
      <c r="H813" s="29">
        <f>SUM(F813:G813)</f>
        <v>269750</v>
      </c>
      <c r="I813" s="10"/>
      <c r="J813" s="30"/>
      <c r="K813" s="28"/>
      <c r="L813" s="29">
        <f>F767*E813</f>
        <v>269750</v>
      </c>
    </row>
    <row r="814" spans="1:12" x14ac:dyDescent="0.2">
      <c r="A814" s="37"/>
      <c r="B814" s="37"/>
      <c r="C814" s="26"/>
      <c r="D814" s="10"/>
      <c r="E814" s="27"/>
      <c r="F814" s="28"/>
      <c r="G814" s="28"/>
      <c r="H814" s="29"/>
      <c r="I814" s="10"/>
      <c r="J814" s="30"/>
      <c r="K814" s="28"/>
      <c r="L814" s="29"/>
    </row>
    <row r="815" spans="1:12" x14ac:dyDescent="0.2">
      <c r="A815" s="37">
        <v>21</v>
      </c>
      <c r="B815" s="37" t="s">
        <v>65</v>
      </c>
      <c r="C815" s="31"/>
      <c r="D815" s="43"/>
      <c r="E815" s="27"/>
      <c r="F815" s="28"/>
      <c r="G815" s="28">
        <f>ROUND(125*C762,0)</f>
        <v>183375</v>
      </c>
      <c r="H815" s="29">
        <f>SUM(F815:G815)</f>
        <v>183375</v>
      </c>
      <c r="I815" s="10"/>
      <c r="J815" s="30" t="s">
        <v>62</v>
      </c>
      <c r="K815" s="29">
        <f>ROUND(125/2*C762,0)</f>
        <v>91688</v>
      </c>
      <c r="L815" s="29">
        <f>ROUND(125/2*C762,0)</f>
        <v>91688</v>
      </c>
    </row>
    <row r="816" spans="1:12" x14ac:dyDescent="0.2">
      <c r="A816" s="37"/>
      <c r="B816" s="37"/>
      <c r="C816" s="26"/>
      <c r="D816" s="10"/>
      <c r="E816" s="27"/>
      <c r="F816" s="28"/>
      <c r="G816" s="28"/>
      <c r="H816" s="29"/>
      <c r="I816" s="10"/>
      <c r="J816" s="30"/>
      <c r="K816" s="28"/>
      <c r="L816" s="29"/>
    </row>
    <row r="817" spans="1:12" x14ac:dyDescent="0.2">
      <c r="A817" s="37">
        <v>22</v>
      </c>
      <c r="B817" s="37" t="s">
        <v>66</v>
      </c>
      <c r="C817" s="26">
        <v>10000</v>
      </c>
      <c r="D817" s="10"/>
      <c r="E817" s="27"/>
      <c r="F817" s="28"/>
      <c r="G817" s="28">
        <f>((E776+E802+E807+E809+E811+E813)*10000)</f>
        <v>170000</v>
      </c>
      <c r="H817" s="29">
        <f>SUM(F817:G817)</f>
        <v>170000</v>
      </c>
      <c r="I817" s="10"/>
      <c r="J817" s="30">
        <f>ROUND(10000*E776,0)</f>
        <v>10000</v>
      </c>
      <c r="K817" s="32">
        <f>(ROUND(10000*(+E811+E809+E807+E802),0))</f>
        <v>110000</v>
      </c>
      <c r="L817" s="33">
        <f>ROUND(10000*E813,0)</f>
        <v>50000</v>
      </c>
    </row>
    <row r="818" spans="1:12" x14ac:dyDescent="0.2">
      <c r="A818" s="37"/>
      <c r="B818" s="37"/>
      <c r="C818" s="26"/>
      <c r="D818" s="10"/>
      <c r="E818" s="27"/>
      <c r="F818" s="28"/>
      <c r="G818" s="28"/>
      <c r="H818" s="29"/>
      <c r="I818" s="10"/>
      <c r="J818" s="30"/>
      <c r="K818" s="32"/>
      <c r="L818" s="33"/>
    </row>
    <row r="819" spans="1:12" x14ac:dyDescent="0.2">
      <c r="A819" s="37">
        <v>23</v>
      </c>
      <c r="B819" s="37" t="s">
        <v>82</v>
      </c>
      <c r="C819" s="26"/>
      <c r="D819" s="10"/>
      <c r="E819" s="27"/>
      <c r="F819" s="28"/>
      <c r="G819" s="28">
        <v>28000</v>
      </c>
      <c r="H819" s="29">
        <f>+G819</f>
        <v>28000</v>
      </c>
      <c r="I819" s="10"/>
      <c r="J819" s="30"/>
      <c r="K819" s="32"/>
      <c r="L819" s="33">
        <f>+H819</f>
        <v>28000</v>
      </c>
    </row>
    <row r="820" spans="1:12" x14ac:dyDescent="0.2">
      <c r="B820" s="2"/>
      <c r="C820" s="26"/>
      <c r="D820" s="10"/>
      <c r="E820" s="27"/>
      <c r="F820" s="28"/>
      <c r="G820" s="28"/>
      <c r="H820" s="29"/>
      <c r="I820" s="10"/>
      <c r="J820" s="30"/>
      <c r="K820" s="28"/>
      <c r="L820" s="29"/>
    </row>
    <row r="821" spans="1:12" ht="15.75" x14ac:dyDescent="0.25">
      <c r="B821" s="3" t="s">
        <v>67</v>
      </c>
      <c r="C821" s="44"/>
      <c r="D821" s="10"/>
      <c r="E821" s="45">
        <f>SUM(E774:E817)</f>
        <v>24</v>
      </c>
      <c r="F821" s="46">
        <f>SUM(F774:F819)</f>
        <v>1555939.9762500001</v>
      </c>
      <c r="G821" s="46">
        <f>SUM(G774:G819)</f>
        <v>795766</v>
      </c>
      <c r="H821" s="47">
        <f>SUM(H774:H820)</f>
        <v>2351705.9762500003</v>
      </c>
      <c r="I821" s="10"/>
      <c r="J821" s="48">
        <f>SUM(J774:J819)</f>
        <v>508760</v>
      </c>
      <c r="K821" s="46">
        <f>SUM(K774:K820)</f>
        <v>1178368</v>
      </c>
      <c r="L821" s="47">
        <f>SUM(L774:L820)</f>
        <v>664581</v>
      </c>
    </row>
    <row r="822" spans="1:12" x14ac:dyDescent="0.2">
      <c r="B822" s="49"/>
      <c r="J822" s="50"/>
      <c r="L822" s="50"/>
    </row>
    <row r="823" spans="1:12" x14ac:dyDescent="0.2">
      <c r="B823" s="49"/>
      <c r="J823" s="50"/>
      <c r="L823" s="50"/>
    </row>
    <row r="824" spans="1:12" x14ac:dyDescent="0.2">
      <c r="A824" s="37">
        <v>24</v>
      </c>
      <c r="B824" s="55" t="s">
        <v>68</v>
      </c>
      <c r="C824" s="8"/>
      <c r="D824" s="8"/>
      <c r="E824" s="11"/>
      <c r="L824" s="10">
        <f>+J821+K821+L821</f>
        <v>2351709</v>
      </c>
    </row>
    <row r="825" spans="1:12" x14ac:dyDescent="0.2">
      <c r="A825" s="37">
        <v>25</v>
      </c>
      <c r="B825" s="55" t="s">
        <v>69</v>
      </c>
      <c r="C825" s="7"/>
      <c r="D825" s="7"/>
      <c r="E825" s="11"/>
      <c r="L825" s="10">
        <v>1350837</v>
      </c>
    </row>
    <row r="826" spans="1:12" ht="15.75" x14ac:dyDescent="0.25">
      <c r="A826" s="37">
        <v>26</v>
      </c>
      <c r="B826" s="55" t="s">
        <v>182</v>
      </c>
      <c r="C826" s="7"/>
      <c r="D826" s="7"/>
      <c r="E826" s="11"/>
      <c r="J826" s="10" t="s">
        <v>62</v>
      </c>
      <c r="L826" s="51">
        <f>+L824-L825</f>
        <v>1000872</v>
      </c>
    </row>
    <row r="827" spans="1:12" x14ac:dyDescent="0.2">
      <c r="B827" s="8"/>
      <c r="C827" s="7"/>
      <c r="D827" s="7"/>
      <c r="E827" s="11"/>
      <c r="J827" s="10"/>
      <c r="L827" s="10"/>
    </row>
    <row r="828" spans="1:12" ht="78.75" x14ac:dyDescent="0.25">
      <c r="B828" s="8"/>
      <c r="C828" s="7"/>
      <c r="D828" s="7"/>
      <c r="E828" s="11"/>
      <c r="J828" s="51" t="s">
        <v>71</v>
      </c>
      <c r="K828" s="52" t="s">
        <v>72</v>
      </c>
      <c r="L828" s="53" t="s">
        <v>73</v>
      </c>
    </row>
    <row r="829" spans="1:12" ht="15.75" x14ac:dyDescent="0.25">
      <c r="B829" s="8" t="s">
        <v>74</v>
      </c>
      <c r="C829" s="7"/>
      <c r="D829" s="7"/>
      <c r="E829" s="11"/>
      <c r="J829" s="10">
        <f>+J821+K821</f>
        <v>1687128</v>
      </c>
      <c r="K829" s="10">
        <f>+L825</f>
        <v>1350837</v>
      </c>
      <c r="L829" s="51">
        <f>+J829-K829</f>
        <v>336291</v>
      </c>
    </row>
    <row r="830" spans="1:12" ht="15.75" x14ac:dyDescent="0.25">
      <c r="B830" s="54" t="s">
        <v>75</v>
      </c>
      <c r="C830" s="7"/>
      <c r="D830" s="7"/>
      <c r="E830" s="11"/>
      <c r="J830" s="10">
        <f>+L821</f>
        <v>664581</v>
      </c>
      <c r="K830" s="10" t="s">
        <v>62</v>
      </c>
      <c r="L830" s="51">
        <f>+J830</f>
        <v>664581</v>
      </c>
    </row>
    <row r="833" spans="1:12" x14ac:dyDescent="0.2">
      <c r="A833" s="1" t="s">
        <v>23</v>
      </c>
      <c r="B833" s="2"/>
    </row>
    <row r="834" spans="1:12" ht="15.75" x14ac:dyDescent="0.25">
      <c r="A834" s="56" t="s">
        <v>24</v>
      </c>
      <c r="B834" s="3"/>
      <c r="C834" s="56" t="s">
        <v>7</v>
      </c>
    </row>
    <row r="835" spans="1:12" x14ac:dyDescent="0.2">
      <c r="A835" s="55" t="s">
        <v>26</v>
      </c>
      <c r="B835" s="2"/>
    </row>
    <row r="836" spans="1:12" x14ac:dyDescent="0.2">
      <c r="B836" s="2"/>
      <c r="C836" s="4"/>
      <c r="D836" s="4"/>
    </row>
    <row r="837" spans="1:12" x14ac:dyDescent="0.2">
      <c r="B837" s="2"/>
      <c r="C837" s="5"/>
      <c r="D837" s="5"/>
    </row>
    <row r="838" spans="1:12" ht="15.75" x14ac:dyDescent="0.25">
      <c r="A838" s="55" t="s">
        <v>27</v>
      </c>
      <c r="B838" s="2"/>
      <c r="C838" s="6">
        <v>2732</v>
      </c>
      <c r="D838" s="4"/>
      <c r="E838" s="7"/>
    </row>
    <row r="839" spans="1:12" ht="15.75" x14ac:dyDescent="0.25">
      <c r="A839" s="55" t="s">
        <v>28</v>
      </c>
      <c r="B839" s="2"/>
      <c r="C839" s="6">
        <f>C838*0.06</f>
        <v>163.92</v>
      </c>
      <c r="D839" s="4"/>
      <c r="E839" s="7"/>
    </row>
    <row r="840" spans="1:12" ht="15.75" x14ac:dyDescent="0.25">
      <c r="A840" s="55" t="s">
        <v>29</v>
      </c>
      <c r="B840" s="2"/>
      <c r="C840" s="6">
        <f>C838/3*0.2</f>
        <v>182.13333333333333</v>
      </c>
      <c r="D840" s="6"/>
      <c r="E840" s="7"/>
    </row>
    <row r="841" spans="1:12" ht="15.75" x14ac:dyDescent="0.25">
      <c r="B841" s="2" t="s">
        <v>30</v>
      </c>
      <c r="C841" s="6"/>
      <c r="D841" s="4"/>
      <c r="E841" s="7"/>
    </row>
    <row r="842" spans="1:12" x14ac:dyDescent="0.2">
      <c r="B842" s="2"/>
    </row>
    <row r="843" spans="1:12" x14ac:dyDescent="0.2">
      <c r="A843" s="7" t="s">
        <v>31</v>
      </c>
      <c r="B843" s="8"/>
      <c r="D843" s="9"/>
      <c r="F843" s="9">
        <v>53950</v>
      </c>
      <c r="H843" s="10"/>
      <c r="I843" s="10"/>
    </row>
    <row r="844" spans="1:12" x14ac:dyDescent="0.2">
      <c r="A844" s="7" t="s">
        <v>32</v>
      </c>
      <c r="B844" s="8"/>
      <c r="D844" s="9"/>
      <c r="F844" s="9">
        <v>59350</v>
      </c>
      <c r="H844" s="10"/>
      <c r="I844" s="10"/>
    </row>
    <row r="845" spans="1:12" x14ac:dyDescent="0.2">
      <c r="A845" s="7" t="s">
        <v>33</v>
      </c>
      <c r="B845" s="8"/>
      <c r="D845" s="9"/>
      <c r="F845" s="9">
        <v>36150</v>
      </c>
      <c r="H845" s="10"/>
      <c r="I845" s="10"/>
    </row>
    <row r="846" spans="1:12" x14ac:dyDescent="0.2">
      <c r="A846" s="7"/>
      <c r="B846" s="8"/>
      <c r="C846" s="11"/>
      <c r="D846" s="11"/>
      <c r="H846" s="10"/>
      <c r="I846" s="10"/>
    </row>
    <row r="847" spans="1:12" ht="15.75" x14ac:dyDescent="0.25">
      <c r="B847" s="2"/>
      <c r="J847" s="12" t="s">
        <v>34</v>
      </c>
      <c r="K847" s="412" t="s">
        <v>35</v>
      </c>
      <c r="L847" s="413"/>
    </row>
    <row r="848" spans="1:12" ht="31.5" x14ac:dyDescent="0.25">
      <c r="A848" s="56" t="s">
        <v>36</v>
      </c>
      <c r="B848" s="13"/>
      <c r="C848" s="14" t="s">
        <v>37</v>
      </c>
      <c r="D848" s="15"/>
      <c r="E848" s="12" t="s">
        <v>38</v>
      </c>
      <c r="F848" s="12" t="s">
        <v>39</v>
      </c>
      <c r="G848" s="12" t="s">
        <v>40</v>
      </c>
      <c r="H848" s="12" t="s">
        <v>0</v>
      </c>
      <c r="I848" s="16"/>
      <c r="J848" s="14" t="s">
        <v>41</v>
      </c>
      <c r="K848" s="17" t="s">
        <v>42</v>
      </c>
      <c r="L848" s="12" t="s">
        <v>43</v>
      </c>
    </row>
    <row r="849" spans="1:12" ht="15.75" x14ac:dyDescent="0.25">
      <c r="A849" s="18"/>
      <c r="B849" s="13"/>
      <c r="C849" s="19"/>
      <c r="D849" s="15"/>
      <c r="E849" s="20"/>
      <c r="F849" s="21"/>
      <c r="G849" s="21"/>
      <c r="H849" s="22"/>
      <c r="I849" s="16"/>
      <c r="J849" s="23"/>
      <c r="K849" s="24"/>
      <c r="L849" s="25"/>
    </row>
    <row r="850" spans="1:12" x14ac:dyDescent="0.2">
      <c r="A850" s="55">
        <v>1</v>
      </c>
      <c r="B850" s="2" t="s">
        <v>44</v>
      </c>
      <c r="C850" s="26">
        <v>50000</v>
      </c>
      <c r="D850" s="10"/>
      <c r="E850" s="27"/>
      <c r="F850" s="28"/>
      <c r="G850" s="28">
        <f>+C850</f>
        <v>50000</v>
      </c>
      <c r="H850" s="29">
        <f>SUM(F850+G850)</f>
        <v>50000</v>
      </c>
      <c r="I850" s="10"/>
      <c r="J850" s="30">
        <f>+H850</f>
        <v>50000</v>
      </c>
      <c r="K850" s="28"/>
      <c r="L850" s="29"/>
    </row>
    <row r="851" spans="1:12" x14ac:dyDescent="0.2">
      <c r="B851" s="2"/>
      <c r="C851" s="26"/>
      <c r="D851" s="10"/>
      <c r="E851" s="27"/>
      <c r="F851" s="28"/>
      <c r="G851" s="28"/>
      <c r="H851" s="29"/>
      <c r="I851" s="10"/>
      <c r="J851" s="30"/>
      <c r="K851" s="28"/>
      <c r="L851" s="29"/>
    </row>
    <row r="852" spans="1:12" x14ac:dyDescent="0.2">
      <c r="A852" s="55">
        <v>2</v>
      </c>
      <c r="B852" s="2" t="s">
        <v>45</v>
      </c>
      <c r="C852" s="26">
        <v>77000</v>
      </c>
      <c r="D852" s="10"/>
      <c r="E852" s="27">
        <v>1</v>
      </c>
      <c r="F852" s="28">
        <f>+C852*E852</f>
        <v>77000</v>
      </c>
      <c r="G852" s="28"/>
      <c r="H852" s="29">
        <f>SUM(F852+G852)</f>
        <v>77000</v>
      </c>
      <c r="I852" s="10"/>
      <c r="J852" s="30">
        <f>+H852</f>
        <v>77000</v>
      </c>
      <c r="K852" s="28"/>
      <c r="L852" s="29"/>
    </row>
    <row r="853" spans="1:12" x14ac:dyDescent="0.2">
      <c r="B853" s="2"/>
      <c r="C853" s="26"/>
      <c r="D853" s="10"/>
      <c r="E853" s="27"/>
      <c r="F853" s="28"/>
      <c r="G853" s="28"/>
      <c r="H853" s="29"/>
      <c r="I853" s="10"/>
      <c r="J853" s="30"/>
      <c r="K853" s="28"/>
      <c r="L853" s="29"/>
    </row>
    <row r="854" spans="1:12" ht="30" x14ac:dyDescent="0.2">
      <c r="A854" s="55">
        <v>3</v>
      </c>
      <c r="B854" s="2" t="s">
        <v>81</v>
      </c>
      <c r="C854" s="26">
        <f>+F844</f>
        <v>59350</v>
      </c>
      <c r="D854" s="10"/>
      <c r="E854" s="27">
        <v>1</v>
      </c>
      <c r="F854" s="28">
        <f>+C854*E854</f>
        <v>59350</v>
      </c>
      <c r="G854" s="28"/>
      <c r="H854" s="29">
        <f>SUM(F854+G854)</f>
        <v>59350</v>
      </c>
      <c r="I854" s="10"/>
      <c r="J854" s="30">
        <f>+H854</f>
        <v>59350</v>
      </c>
      <c r="K854" s="28"/>
      <c r="L854" s="29"/>
    </row>
    <row r="855" spans="1:12" x14ac:dyDescent="0.2">
      <c r="B855" s="2"/>
      <c r="C855" s="26"/>
      <c r="D855" s="10"/>
      <c r="E855" s="27"/>
      <c r="F855" s="28"/>
      <c r="G855" s="28"/>
      <c r="H855" s="29"/>
      <c r="I855" s="10"/>
      <c r="J855" s="30"/>
      <c r="K855" s="28"/>
      <c r="L855" s="29"/>
    </row>
    <row r="856" spans="1:12" x14ac:dyDescent="0.2">
      <c r="A856" s="55">
        <v>4</v>
      </c>
      <c r="B856" s="2" t="s">
        <v>46</v>
      </c>
      <c r="C856" s="26">
        <v>39300</v>
      </c>
      <c r="D856" s="10"/>
      <c r="E856" s="27">
        <v>1</v>
      </c>
      <c r="F856" s="28">
        <f>+C856*E856</f>
        <v>39300</v>
      </c>
      <c r="G856" s="28"/>
      <c r="H856" s="29">
        <f>SUM(F856+G856)</f>
        <v>39300</v>
      </c>
      <c r="I856" s="10"/>
      <c r="J856" s="30">
        <f>+H856</f>
        <v>39300</v>
      </c>
      <c r="K856" s="28"/>
      <c r="L856" s="29"/>
    </row>
    <row r="857" spans="1:12" x14ac:dyDescent="0.2">
      <c r="B857" s="2"/>
      <c r="C857" s="26"/>
      <c r="D857" s="10"/>
      <c r="E857" s="27"/>
      <c r="F857" s="28"/>
      <c r="G857" s="28"/>
      <c r="H857" s="29"/>
      <c r="I857" s="10"/>
      <c r="J857" s="30"/>
      <c r="K857" s="28"/>
      <c r="L857" s="29"/>
    </row>
    <row r="858" spans="1:12" x14ac:dyDescent="0.2">
      <c r="A858" s="55">
        <v>5</v>
      </c>
      <c r="B858" s="2" t="s">
        <v>47</v>
      </c>
      <c r="C858" s="26">
        <v>36000</v>
      </c>
      <c r="D858" s="10"/>
      <c r="E858" s="27">
        <v>1</v>
      </c>
      <c r="F858" s="28">
        <f>+C858*E858</f>
        <v>36000</v>
      </c>
      <c r="G858" s="28"/>
      <c r="H858" s="29">
        <f>SUM(F858+G858)</f>
        <v>36000</v>
      </c>
      <c r="I858" s="10"/>
      <c r="J858" s="30">
        <f>+H858</f>
        <v>36000</v>
      </c>
      <c r="K858" s="28"/>
      <c r="L858" s="29"/>
    </row>
    <row r="859" spans="1:12" x14ac:dyDescent="0.2">
      <c r="B859" s="2"/>
      <c r="C859" s="26"/>
      <c r="D859" s="10"/>
      <c r="E859" s="27"/>
      <c r="F859" s="28"/>
      <c r="G859" s="28"/>
      <c r="H859" s="29"/>
      <c r="I859" s="10"/>
      <c r="J859" s="30"/>
      <c r="K859" s="28"/>
      <c r="L859" s="29"/>
    </row>
    <row r="860" spans="1:12" x14ac:dyDescent="0.2">
      <c r="A860" s="55">
        <v>6</v>
      </c>
      <c r="B860" s="2" t="s">
        <v>48</v>
      </c>
      <c r="C860" s="26">
        <v>51000</v>
      </c>
      <c r="D860" s="10"/>
      <c r="E860" s="27">
        <v>1</v>
      </c>
      <c r="F860" s="28">
        <f>+C860*E860</f>
        <v>51000</v>
      </c>
      <c r="G860" s="28"/>
      <c r="H860" s="29">
        <f>SUM(F860+G860)</f>
        <v>51000</v>
      </c>
      <c r="I860" s="10"/>
      <c r="J860" s="30">
        <f>+H860</f>
        <v>51000</v>
      </c>
      <c r="K860" s="28"/>
      <c r="L860" s="29"/>
    </row>
    <row r="861" spans="1:12" x14ac:dyDescent="0.2">
      <c r="B861" s="2"/>
      <c r="C861" s="26"/>
      <c r="D861" s="10"/>
      <c r="E861" s="27"/>
      <c r="F861" s="28"/>
      <c r="G861" s="28"/>
      <c r="H861" s="29"/>
      <c r="I861" s="10"/>
      <c r="J861" s="30"/>
      <c r="K861" s="28"/>
      <c r="L861" s="29"/>
    </row>
    <row r="862" spans="1:12" x14ac:dyDescent="0.2">
      <c r="A862" s="55">
        <v>7</v>
      </c>
      <c r="B862" s="2" t="s">
        <v>49</v>
      </c>
      <c r="C862" s="31">
        <v>0</v>
      </c>
      <c r="D862" s="10"/>
      <c r="E862" s="27"/>
      <c r="F862" s="28"/>
      <c r="G862" s="32">
        <v>0</v>
      </c>
      <c r="H862" s="33">
        <v>0</v>
      </c>
      <c r="I862" s="10"/>
      <c r="J862" s="34">
        <f>+H862</f>
        <v>0</v>
      </c>
      <c r="K862" s="32">
        <v>0</v>
      </c>
      <c r="L862" s="33">
        <v>0</v>
      </c>
    </row>
    <row r="863" spans="1:12" x14ac:dyDescent="0.2">
      <c r="B863" s="2"/>
      <c r="C863" s="26"/>
      <c r="D863" s="10"/>
      <c r="E863" s="27"/>
      <c r="F863" s="28"/>
      <c r="G863" s="28"/>
      <c r="H863" s="29"/>
      <c r="I863" s="10"/>
      <c r="J863" s="30"/>
      <c r="K863" s="28"/>
      <c r="L863" s="29"/>
    </row>
    <row r="864" spans="1:12" x14ac:dyDescent="0.2">
      <c r="A864" s="55">
        <v>8</v>
      </c>
      <c r="B864" s="2" t="s">
        <v>50</v>
      </c>
      <c r="C864" s="26">
        <v>13000</v>
      </c>
      <c r="D864" s="10"/>
      <c r="E864" s="27"/>
      <c r="F864" s="28"/>
      <c r="G864" s="28">
        <f>+C864</f>
        <v>13000</v>
      </c>
      <c r="H864" s="29">
        <f>SUM(F864+G864)</f>
        <v>13000</v>
      </c>
      <c r="I864" s="10"/>
      <c r="J864" s="30">
        <f>+H864</f>
        <v>13000</v>
      </c>
      <c r="K864" s="28"/>
      <c r="L864" s="29"/>
    </row>
    <row r="865" spans="1:12" x14ac:dyDescent="0.2">
      <c r="B865" s="2"/>
      <c r="C865" s="26"/>
      <c r="D865" s="10"/>
      <c r="E865" s="27"/>
      <c r="F865" s="28"/>
      <c r="G865" s="28"/>
      <c r="H865" s="29"/>
      <c r="I865" s="10"/>
      <c r="J865" s="30"/>
      <c r="K865" s="28"/>
      <c r="L865" s="29"/>
    </row>
    <row r="866" spans="1:12" x14ac:dyDescent="0.2">
      <c r="A866" s="55">
        <v>9</v>
      </c>
      <c r="B866" s="2" t="s">
        <v>51</v>
      </c>
      <c r="C866" s="26">
        <v>30000</v>
      </c>
      <c r="D866" s="10"/>
      <c r="E866" s="27"/>
      <c r="F866" s="28"/>
      <c r="G866" s="28">
        <f>+C866</f>
        <v>30000</v>
      </c>
      <c r="H866" s="29">
        <f>SUM(F866+G866)</f>
        <v>30000</v>
      </c>
      <c r="I866" s="10"/>
      <c r="J866" s="30">
        <f>+H866</f>
        <v>30000</v>
      </c>
      <c r="K866" s="28"/>
      <c r="L866" s="29"/>
    </row>
    <row r="867" spans="1:12" x14ac:dyDescent="0.2">
      <c r="B867" s="2"/>
      <c r="C867" s="26"/>
      <c r="D867" s="10"/>
      <c r="E867" s="27"/>
      <c r="F867" s="28"/>
      <c r="G867" s="28"/>
      <c r="H867" s="29"/>
      <c r="I867" s="10"/>
      <c r="J867" s="30"/>
      <c r="K867" s="28"/>
      <c r="L867" s="29"/>
    </row>
    <row r="868" spans="1:12" x14ac:dyDescent="0.2">
      <c r="A868" s="55">
        <v>10</v>
      </c>
      <c r="B868" s="2" t="s">
        <v>52</v>
      </c>
      <c r="C868" s="26">
        <v>40000</v>
      </c>
      <c r="D868" s="10"/>
      <c r="E868" s="27"/>
      <c r="F868" s="28"/>
      <c r="G868" s="28">
        <f>+C868</f>
        <v>40000</v>
      </c>
      <c r="H868" s="29">
        <f>SUM(F868+G868)</f>
        <v>40000</v>
      </c>
      <c r="I868" s="10"/>
      <c r="J868" s="30">
        <f>+H868</f>
        <v>40000</v>
      </c>
      <c r="K868" s="28"/>
      <c r="L868" s="29"/>
    </row>
    <row r="869" spans="1:12" x14ac:dyDescent="0.2">
      <c r="B869" s="2"/>
      <c r="C869" s="26"/>
      <c r="D869" s="10"/>
      <c r="E869" s="27"/>
      <c r="F869" s="28"/>
      <c r="G869" s="28"/>
      <c r="H869" s="29"/>
      <c r="I869" s="10"/>
      <c r="J869" s="30"/>
      <c r="K869" s="28"/>
      <c r="L869" s="29"/>
    </row>
    <row r="870" spans="1:12" ht="30" x14ac:dyDescent="0.2">
      <c r="A870" s="55">
        <v>11</v>
      </c>
      <c r="B870" s="2" t="s">
        <v>53</v>
      </c>
      <c r="C870" s="26"/>
      <c r="D870" s="10"/>
      <c r="E870" s="27"/>
      <c r="F870" s="28"/>
      <c r="G870" s="28">
        <f>ROUND((F852+F854+F856+F858+F860+F872+F876+F878+F880+F883+F885+F887+F889)*0.15,0)</f>
        <v>371320</v>
      </c>
      <c r="H870" s="60">
        <f>SUM(F870+G870)</f>
        <v>371320</v>
      </c>
      <c r="I870" s="10"/>
      <c r="J870" s="30">
        <f>ROUND((SUM(F852:F860)*0.15),0)</f>
        <v>39398</v>
      </c>
      <c r="K870" s="32">
        <f>ROUND(SUM(F872:F887)*0.15,0)</f>
        <v>259090</v>
      </c>
      <c r="L870" s="33">
        <f>ROUND(F889*0.15,0)</f>
        <v>72833</v>
      </c>
    </row>
    <row r="871" spans="1:12" x14ac:dyDescent="0.2">
      <c r="B871" s="2"/>
      <c r="C871" s="26"/>
      <c r="D871" s="10"/>
      <c r="E871" s="27"/>
      <c r="F871" s="28"/>
      <c r="G871" s="28"/>
      <c r="H871" s="29"/>
      <c r="I871" s="10"/>
      <c r="J871" s="30"/>
      <c r="K871" s="32"/>
      <c r="L871" s="33"/>
    </row>
    <row r="872" spans="1:12" x14ac:dyDescent="0.2">
      <c r="A872" s="55">
        <v>12</v>
      </c>
      <c r="B872" s="2" t="s">
        <v>54</v>
      </c>
      <c r="C872" s="26"/>
      <c r="D872" s="10"/>
      <c r="E872" s="27"/>
      <c r="F872" s="28">
        <f>(F852+F854+F856+F858+F860+F876+F878+F880+F883+F885+F887+F889)*0.2045</f>
        <v>420284.82124999998</v>
      </c>
      <c r="G872" s="28"/>
      <c r="H872" s="29">
        <f>(+H852+H854+H856+H858+H860+H876+H878+H880+H883+H885+H887+H889)*0.2045</f>
        <v>420284.82124999998</v>
      </c>
      <c r="I872" s="10"/>
      <c r="J872" s="30">
        <f>ROUND((SUM(F852:F860)*0.2045),0)</f>
        <v>53712</v>
      </c>
      <c r="K872" s="32">
        <f>ROUND((SUM(F876:F887)*0.2045),0)</f>
        <v>267278</v>
      </c>
      <c r="L872" s="33">
        <f>ROUND(F889*0.2045,0)</f>
        <v>99295</v>
      </c>
    </row>
    <row r="873" spans="1:12" x14ac:dyDescent="0.2">
      <c r="B873" s="2"/>
      <c r="C873" s="26"/>
      <c r="D873" s="10"/>
      <c r="E873" s="27"/>
      <c r="F873" s="28"/>
      <c r="G873" s="28"/>
      <c r="H873" s="29"/>
      <c r="I873" s="10"/>
      <c r="J873" s="30"/>
      <c r="K873" s="32"/>
      <c r="L873" s="33"/>
    </row>
    <row r="874" spans="1:12" x14ac:dyDescent="0.2">
      <c r="A874" s="55">
        <v>13</v>
      </c>
      <c r="B874" s="2" t="s">
        <v>55</v>
      </c>
      <c r="C874" s="26">
        <v>2000</v>
      </c>
      <c r="D874" s="10"/>
      <c r="E874" s="27"/>
      <c r="F874" s="28"/>
      <c r="G874" s="28">
        <f>E897*2000</f>
        <v>76000</v>
      </c>
      <c r="H874" s="29">
        <f>SUM(F874:G874)</f>
        <v>76000</v>
      </c>
      <c r="I874" s="10"/>
      <c r="J874" s="30">
        <f>(E852+E854+E856+E858+E860)*2000</f>
        <v>10000</v>
      </c>
      <c r="K874" s="32">
        <f>ROUND(SUM(E878:E887)*2000,0)</f>
        <v>48000</v>
      </c>
      <c r="L874" s="33">
        <f>ROUND(E889*2000,0)</f>
        <v>18000</v>
      </c>
    </row>
    <row r="875" spans="1:12" x14ac:dyDescent="0.2">
      <c r="B875" s="2"/>
      <c r="C875" s="26"/>
      <c r="D875" s="10"/>
      <c r="E875" s="27"/>
      <c r="F875" s="28"/>
      <c r="G875" s="28"/>
      <c r="H875" s="29"/>
      <c r="I875" s="10"/>
      <c r="J875" s="30"/>
      <c r="K875" s="32"/>
      <c r="L875" s="33"/>
    </row>
    <row r="876" spans="1:12" ht="30" x14ac:dyDescent="0.2">
      <c r="A876" s="55">
        <v>14</v>
      </c>
      <c r="B876" s="2" t="s">
        <v>56</v>
      </c>
      <c r="C876" s="26"/>
      <c r="D876" s="10"/>
      <c r="E876" s="27"/>
      <c r="F876" s="28">
        <f>(F883+F887+F889+F878)*0.05</f>
        <v>74182.5</v>
      </c>
      <c r="G876" s="28"/>
      <c r="H876" s="29">
        <f>SUM(F876:G876)</f>
        <v>74182.5</v>
      </c>
      <c r="I876" s="10"/>
      <c r="J876" s="30"/>
      <c r="K876" s="32">
        <f>ROUND((+F878+F883+F887)*0.05,0)</f>
        <v>49905</v>
      </c>
      <c r="L876" s="33">
        <f>ROUND(F889*0.05,0)</f>
        <v>24278</v>
      </c>
    </row>
    <row r="877" spans="1:12" x14ac:dyDescent="0.2">
      <c r="B877" s="2"/>
      <c r="C877" s="26"/>
      <c r="D877" s="10"/>
      <c r="E877" s="27"/>
      <c r="F877" s="28"/>
      <c r="G877" s="28"/>
      <c r="H877" s="29"/>
      <c r="I877" s="10"/>
      <c r="J877" s="30"/>
      <c r="K877" s="28"/>
      <c r="L877" s="29"/>
    </row>
    <row r="878" spans="1:12" x14ac:dyDescent="0.2">
      <c r="A878" s="55">
        <v>15</v>
      </c>
      <c r="B878" s="2" t="s">
        <v>57</v>
      </c>
      <c r="C878" s="26">
        <f>+F844</f>
        <v>59350</v>
      </c>
      <c r="D878" s="10"/>
      <c r="E878" s="27">
        <f>ROUND((E889+E887+E885+E883+E880)/6,0)</f>
        <v>5</v>
      </c>
      <c r="F878" s="28">
        <f>F844*E878</f>
        <v>296750</v>
      </c>
      <c r="G878" s="28"/>
      <c r="H878" s="29">
        <f>SUM(F878:G878)</f>
        <v>296750</v>
      </c>
      <c r="I878" s="10"/>
      <c r="J878" s="27"/>
      <c r="K878" s="32">
        <f>ROUND(F878*((+E$49+E$51+E$53)/(E$49+E$51+E$53+E$55)),0)</f>
        <v>186929</v>
      </c>
      <c r="L878" s="33">
        <f>ROUND((+F878*(E$55/(+E$49+E$51+E$53+E$55))),0)</f>
        <v>109821</v>
      </c>
    </row>
    <row r="879" spans="1:12" x14ac:dyDescent="0.2">
      <c r="B879" s="2"/>
      <c r="C879" s="26"/>
      <c r="D879" s="10"/>
      <c r="E879" s="27"/>
      <c r="F879" s="28"/>
      <c r="G879" s="28"/>
      <c r="H879" s="29"/>
      <c r="I879" s="10"/>
      <c r="J879" s="30"/>
      <c r="K879" s="28"/>
      <c r="L879" s="29"/>
    </row>
    <row r="880" spans="1:12" x14ac:dyDescent="0.2">
      <c r="A880" s="55">
        <v>16</v>
      </c>
      <c r="B880" s="2" t="s">
        <v>58</v>
      </c>
      <c r="C880" s="26">
        <f>+F845</f>
        <v>36150</v>
      </c>
      <c r="D880" s="10"/>
      <c r="E880" s="27">
        <f>ROUND((E889+E887+E885+E883)/5,0)</f>
        <v>5</v>
      </c>
      <c r="F880" s="28">
        <f>F845*E880</f>
        <v>180750</v>
      </c>
      <c r="G880" s="28"/>
      <c r="H880" s="29">
        <f>SUM(F880:G880)</f>
        <v>180750</v>
      </c>
      <c r="I880" s="10"/>
      <c r="J880" s="30"/>
      <c r="K880" s="32">
        <f>ROUND(F880*((+E$49+E$51+E$53)/(E$49+E$51+E$53+E$55)),0)</f>
        <v>113858</v>
      </c>
      <c r="L880" s="33">
        <f>ROUND((+F880*(E$55/(+E$49+E$51+E$53+E$55))),0)</f>
        <v>66892</v>
      </c>
    </row>
    <row r="881" spans="1:12" x14ac:dyDescent="0.2">
      <c r="B881" s="2"/>
      <c r="C881" s="26"/>
      <c r="D881" s="10"/>
      <c r="E881" s="27"/>
      <c r="F881" s="28"/>
      <c r="G881" s="28"/>
      <c r="H881" s="29"/>
      <c r="I881" s="10"/>
      <c r="J881" s="30"/>
      <c r="K881" s="28"/>
      <c r="L881" s="29"/>
    </row>
    <row r="882" spans="1:12" ht="15.75" x14ac:dyDescent="0.25">
      <c r="A882" s="18" t="s">
        <v>59</v>
      </c>
      <c r="B882" s="2"/>
      <c r="C882" s="26"/>
      <c r="D882" s="10"/>
      <c r="E882" s="27"/>
      <c r="F882" s="28"/>
      <c r="G882" s="28"/>
      <c r="H882" s="29"/>
      <c r="I882" s="10"/>
      <c r="J882" s="30"/>
      <c r="K882" s="28"/>
      <c r="L882" s="29"/>
    </row>
    <row r="883" spans="1:12" x14ac:dyDescent="0.2">
      <c r="A883" s="36">
        <v>17</v>
      </c>
      <c r="B883" s="37" t="s">
        <v>60</v>
      </c>
      <c r="C883" s="38">
        <f>+F843</f>
        <v>53950</v>
      </c>
      <c r="D883" s="39"/>
      <c r="E883" s="40">
        <f>ROUND(C839/30,0)</f>
        <v>5</v>
      </c>
      <c r="F883" s="41">
        <f>F843*E883</f>
        <v>269750</v>
      </c>
      <c r="G883" s="41"/>
      <c r="H883" s="35">
        <f>SUM(F883:G883)</f>
        <v>269750</v>
      </c>
      <c r="I883" s="39"/>
      <c r="J883" s="42"/>
      <c r="K883" s="28">
        <f>F843*E883</f>
        <v>269750</v>
      </c>
      <c r="L883" s="29"/>
    </row>
    <row r="884" spans="1:12" x14ac:dyDescent="0.2">
      <c r="A884" s="37"/>
      <c r="B884" s="37"/>
      <c r="C884" s="26"/>
      <c r="D884" s="10"/>
      <c r="E884" s="27"/>
      <c r="F884" s="28"/>
      <c r="G884" s="28"/>
      <c r="H884" s="29"/>
      <c r="I884" s="10"/>
      <c r="J884" s="30"/>
      <c r="K884" s="28"/>
      <c r="L884" s="29"/>
    </row>
    <row r="885" spans="1:12" ht="30" x14ac:dyDescent="0.2">
      <c r="A885" s="36">
        <v>18</v>
      </c>
      <c r="B885" s="37" t="s">
        <v>61</v>
      </c>
      <c r="C885" s="26">
        <f>+F843</f>
        <v>53950</v>
      </c>
      <c r="D885" s="10"/>
      <c r="E885" s="27">
        <v>1</v>
      </c>
      <c r="F885" s="28">
        <f>F843*E885</f>
        <v>53950</v>
      </c>
      <c r="G885" s="28"/>
      <c r="H885" s="29">
        <f>SUM(F885:G885)</f>
        <v>53950</v>
      </c>
      <c r="I885" s="10"/>
      <c r="J885" s="30" t="s">
        <v>62</v>
      </c>
      <c r="K885" s="28">
        <f>ROUND(E885*F843,0)</f>
        <v>53950</v>
      </c>
      <c r="L885" s="29"/>
    </row>
    <row r="886" spans="1:12" x14ac:dyDescent="0.2">
      <c r="A886" s="37"/>
      <c r="B886" s="37"/>
      <c r="C886" s="26"/>
      <c r="D886" s="10"/>
      <c r="E886" s="27"/>
      <c r="F886" s="28"/>
      <c r="G886" s="28"/>
      <c r="H886" s="29"/>
      <c r="I886" s="10"/>
      <c r="J886" s="30"/>
      <c r="K886" s="28"/>
      <c r="L886" s="29"/>
    </row>
    <row r="887" spans="1:12" x14ac:dyDescent="0.2">
      <c r="A887" s="37">
        <v>19</v>
      </c>
      <c r="B887" s="37" t="s">
        <v>63</v>
      </c>
      <c r="C887" s="26">
        <f>+F843</f>
        <v>53950</v>
      </c>
      <c r="D887" s="10"/>
      <c r="E887" s="27">
        <f>ROUND(C839/20,0)</f>
        <v>8</v>
      </c>
      <c r="F887" s="28">
        <f>F843*E887</f>
        <v>431600</v>
      </c>
      <c r="G887" s="28"/>
      <c r="H887" s="29">
        <f>SUM(F887:G887)</f>
        <v>431600</v>
      </c>
      <c r="I887" s="10"/>
      <c r="J887" s="30"/>
      <c r="K887" s="28">
        <f>F843*E887</f>
        <v>431600</v>
      </c>
      <c r="L887" s="29"/>
    </row>
    <row r="888" spans="1:12" x14ac:dyDescent="0.2">
      <c r="A888" s="37"/>
      <c r="B888" s="37"/>
      <c r="C888" s="26"/>
      <c r="D888" s="10"/>
      <c r="E888" s="27"/>
      <c r="F888" s="28"/>
      <c r="G888" s="28"/>
      <c r="H888" s="29"/>
      <c r="I888" s="10"/>
      <c r="J888" s="30"/>
      <c r="K888" s="28"/>
      <c r="L888" s="29"/>
    </row>
    <row r="889" spans="1:12" x14ac:dyDescent="0.2">
      <c r="A889" s="37">
        <v>20</v>
      </c>
      <c r="B889" s="37" t="s">
        <v>64</v>
      </c>
      <c r="C889" s="26">
        <f>+F843</f>
        <v>53950</v>
      </c>
      <c r="D889" s="10"/>
      <c r="E889" s="27">
        <f>ROUND(C840/20,0)</f>
        <v>9</v>
      </c>
      <c r="F889" s="28">
        <f>F843*E889</f>
        <v>485550</v>
      </c>
      <c r="G889" s="28"/>
      <c r="H889" s="29">
        <f>SUM(F889:G889)</f>
        <v>485550</v>
      </c>
      <c r="I889" s="10"/>
      <c r="J889" s="30"/>
      <c r="K889" s="28"/>
      <c r="L889" s="29">
        <f>F843*E889</f>
        <v>485550</v>
      </c>
    </row>
    <row r="890" spans="1:12" x14ac:dyDescent="0.2">
      <c r="A890" s="37"/>
      <c r="B890" s="37"/>
      <c r="C890" s="26"/>
      <c r="D890" s="10"/>
      <c r="E890" s="27"/>
      <c r="F890" s="28"/>
      <c r="G890" s="28"/>
      <c r="H890" s="29"/>
      <c r="I890" s="10"/>
      <c r="J890" s="30"/>
      <c r="K890" s="28"/>
      <c r="L890" s="29"/>
    </row>
    <row r="891" spans="1:12" x14ac:dyDescent="0.2">
      <c r="A891" s="37">
        <v>21</v>
      </c>
      <c r="B891" s="37" t="s">
        <v>65</v>
      </c>
      <c r="C891" s="31"/>
      <c r="D891" s="43"/>
      <c r="E891" s="27"/>
      <c r="F891" s="28"/>
      <c r="G891" s="28">
        <f>ROUND(125*C838,0)</f>
        <v>341500</v>
      </c>
      <c r="H891" s="29">
        <f>SUM(F891:G891)</f>
        <v>341500</v>
      </c>
      <c r="I891" s="10"/>
      <c r="J891" s="30" t="s">
        <v>62</v>
      </c>
      <c r="K891" s="29">
        <f>ROUND(125/2*C838,0)</f>
        <v>170750</v>
      </c>
      <c r="L891" s="29">
        <f>ROUND(125/2*C838,0)</f>
        <v>170750</v>
      </c>
    </row>
    <row r="892" spans="1:12" x14ac:dyDescent="0.2">
      <c r="A892" s="37"/>
      <c r="B892" s="37"/>
      <c r="C892" s="26"/>
      <c r="D892" s="10"/>
      <c r="E892" s="27"/>
      <c r="F892" s="28"/>
      <c r="G892" s="28"/>
      <c r="H892" s="29"/>
      <c r="I892" s="10"/>
      <c r="J892" s="30"/>
      <c r="K892" s="28"/>
      <c r="L892" s="29"/>
    </row>
    <row r="893" spans="1:12" x14ac:dyDescent="0.2">
      <c r="A893" s="37">
        <v>22</v>
      </c>
      <c r="B893" s="37" t="s">
        <v>66</v>
      </c>
      <c r="C893" s="26">
        <v>10000</v>
      </c>
      <c r="D893" s="10"/>
      <c r="E893" s="27"/>
      <c r="F893" s="28"/>
      <c r="G893" s="28">
        <f>((E852+E878+E883+E885+E887+E889)*10000)+50000</f>
        <v>340000</v>
      </c>
      <c r="H893" s="29">
        <f>SUM(F893:G893)</f>
        <v>340000</v>
      </c>
      <c r="I893" s="10"/>
      <c r="J893" s="30">
        <f>ROUND(10000*E852,0)</f>
        <v>10000</v>
      </c>
      <c r="K893" s="32">
        <f>(ROUND(10000*(+E887+E885+E883+E878),0))+50000</f>
        <v>240000</v>
      </c>
      <c r="L893" s="33">
        <f>ROUND(10000*E889,0)</f>
        <v>90000</v>
      </c>
    </row>
    <row r="894" spans="1:12" x14ac:dyDescent="0.2">
      <c r="A894" s="37"/>
      <c r="B894" s="37"/>
      <c r="C894" s="26"/>
      <c r="D894" s="10"/>
      <c r="E894" s="27"/>
      <c r="F894" s="28"/>
      <c r="G894" s="28"/>
      <c r="H894" s="29"/>
      <c r="I894" s="10"/>
      <c r="J894" s="30"/>
      <c r="K894" s="32"/>
      <c r="L894" s="33"/>
    </row>
    <row r="895" spans="1:12" x14ac:dyDescent="0.2">
      <c r="A895" s="37">
        <v>23</v>
      </c>
      <c r="B895" s="37" t="s">
        <v>82</v>
      </c>
      <c r="C895" s="26"/>
      <c r="D895" s="10"/>
      <c r="E895" s="27"/>
      <c r="F895" s="28"/>
      <c r="G895" s="28">
        <v>230000</v>
      </c>
      <c r="H895" s="29">
        <f>+G895</f>
        <v>230000</v>
      </c>
      <c r="I895" s="10"/>
      <c r="J895" s="30"/>
      <c r="K895" s="32"/>
      <c r="L895" s="33">
        <f>+H895</f>
        <v>230000</v>
      </c>
    </row>
    <row r="896" spans="1:12" x14ac:dyDescent="0.2">
      <c r="B896" s="2"/>
      <c r="C896" s="26"/>
      <c r="D896" s="10"/>
      <c r="E896" s="27"/>
      <c r="F896" s="28"/>
      <c r="G896" s="28"/>
      <c r="H896" s="29"/>
      <c r="I896" s="10"/>
      <c r="J896" s="30"/>
      <c r="K896" s="28"/>
      <c r="L896" s="29"/>
    </row>
    <row r="897" spans="1:12" ht="15.75" x14ac:dyDescent="0.25">
      <c r="B897" s="3" t="s">
        <v>67</v>
      </c>
      <c r="C897" s="44"/>
      <c r="D897" s="10"/>
      <c r="E897" s="45">
        <f>SUM(E850:E893)</f>
        <v>38</v>
      </c>
      <c r="F897" s="46">
        <f>SUM(F850:F895)</f>
        <v>2475467.32125</v>
      </c>
      <c r="G897" s="46">
        <f>SUM(G850:G895)</f>
        <v>1491820</v>
      </c>
      <c r="H897" s="47">
        <f>SUM(H850:H896)</f>
        <v>3967287.32125</v>
      </c>
      <c r="I897" s="10"/>
      <c r="J897" s="48">
        <f>SUM(J850:J895)</f>
        <v>508760</v>
      </c>
      <c r="K897" s="46">
        <f>SUM(K850:K896)</f>
        <v>2091110</v>
      </c>
      <c r="L897" s="47">
        <f>SUM(L850:L896)</f>
        <v>1367419</v>
      </c>
    </row>
    <row r="898" spans="1:12" x14ac:dyDescent="0.2">
      <c r="B898" s="49"/>
      <c r="J898" s="50"/>
      <c r="L898" s="50"/>
    </row>
    <row r="899" spans="1:12" x14ac:dyDescent="0.2">
      <c r="B899" s="49"/>
      <c r="J899" s="50"/>
      <c r="L899" s="50"/>
    </row>
    <row r="900" spans="1:12" x14ac:dyDescent="0.2">
      <c r="A900" s="37">
        <v>24</v>
      </c>
      <c r="B900" s="55" t="s">
        <v>68</v>
      </c>
      <c r="C900" s="8"/>
      <c r="D900" s="8"/>
      <c r="E900" s="11"/>
      <c r="L900" s="10">
        <f>+J897+K897+L897</f>
        <v>3967289</v>
      </c>
    </row>
    <row r="901" spans="1:12" x14ac:dyDescent="0.2">
      <c r="A901" s="37">
        <v>25</v>
      </c>
      <c r="B901" s="55" t="s">
        <v>69</v>
      </c>
      <c r="C901" s="7"/>
      <c r="D901" s="7"/>
      <c r="E901" s="11"/>
      <c r="L901" s="10">
        <v>2387325</v>
      </c>
    </row>
    <row r="902" spans="1:12" ht="15.75" x14ac:dyDescent="0.25">
      <c r="A902" s="37">
        <v>26</v>
      </c>
      <c r="B902" s="55" t="s">
        <v>182</v>
      </c>
      <c r="C902" s="7"/>
      <c r="D902" s="7"/>
      <c r="E902" s="11"/>
      <c r="J902" s="10" t="s">
        <v>62</v>
      </c>
      <c r="L902" s="51">
        <f>+L900-L901</f>
        <v>1579964</v>
      </c>
    </row>
    <row r="903" spans="1:12" x14ac:dyDescent="0.2">
      <c r="B903" s="8"/>
      <c r="C903" s="7"/>
      <c r="D903" s="7"/>
      <c r="E903" s="11"/>
      <c r="J903" s="10"/>
      <c r="L903" s="10"/>
    </row>
    <row r="904" spans="1:12" ht="78.75" x14ac:dyDescent="0.25">
      <c r="B904" s="8"/>
      <c r="C904" s="7"/>
      <c r="D904" s="7"/>
      <c r="E904" s="11"/>
      <c r="J904" s="51" t="s">
        <v>71</v>
      </c>
      <c r="K904" s="52" t="s">
        <v>72</v>
      </c>
      <c r="L904" s="53" t="s">
        <v>73</v>
      </c>
    </row>
    <row r="905" spans="1:12" ht="15.75" x14ac:dyDescent="0.25">
      <c r="B905" s="8" t="s">
        <v>74</v>
      </c>
      <c r="C905" s="7"/>
      <c r="D905" s="7"/>
      <c r="E905" s="11"/>
      <c r="J905" s="10">
        <f>+J897+K897</f>
        <v>2599870</v>
      </c>
      <c r="K905" s="10">
        <f>+L901</f>
        <v>2387325</v>
      </c>
      <c r="L905" s="51">
        <f>+J905-K905</f>
        <v>212545</v>
      </c>
    </row>
    <row r="906" spans="1:12" ht="15.75" x14ac:dyDescent="0.25">
      <c r="B906" s="54" t="s">
        <v>75</v>
      </c>
      <c r="C906" s="7"/>
      <c r="D906" s="7"/>
      <c r="E906" s="11"/>
      <c r="J906" s="10">
        <f>+L897</f>
        <v>1367419</v>
      </c>
      <c r="K906" s="10" t="s">
        <v>62</v>
      </c>
      <c r="L906" s="51">
        <f>+J906</f>
        <v>1367419</v>
      </c>
    </row>
    <row r="910" spans="1:12" x14ac:dyDescent="0.2">
      <c r="A910" s="1" t="s">
        <v>23</v>
      </c>
      <c r="B910" s="2"/>
    </row>
    <row r="911" spans="1:12" ht="15.75" x14ac:dyDescent="0.25">
      <c r="A911" s="56" t="s">
        <v>24</v>
      </c>
      <c r="B911" s="3"/>
      <c r="C911" s="56" t="s">
        <v>190</v>
      </c>
    </row>
    <row r="912" spans="1:12" x14ac:dyDescent="0.2">
      <c r="A912" s="55" t="s">
        <v>26</v>
      </c>
      <c r="B912" s="2"/>
    </row>
    <row r="913" spans="1:12" x14ac:dyDescent="0.2">
      <c r="B913" s="2"/>
      <c r="C913" s="4"/>
      <c r="D913" s="4"/>
    </row>
    <row r="914" spans="1:12" x14ac:dyDescent="0.2">
      <c r="B914" s="2"/>
      <c r="C914" s="5"/>
      <c r="D914" s="5"/>
    </row>
    <row r="915" spans="1:12" ht="15.75" x14ac:dyDescent="0.25">
      <c r="A915" s="55" t="s">
        <v>27</v>
      </c>
      <c r="B915" s="2"/>
      <c r="C915" s="6">
        <v>960</v>
      </c>
      <c r="D915" s="4"/>
      <c r="E915" s="7"/>
    </row>
    <row r="916" spans="1:12" ht="15.75" x14ac:dyDescent="0.25">
      <c r="A916" s="55" t="s">
        <v>28</v>
      </c>
      <c r="B916" s="2"/>
      <c r="C916" s="6">
        <f>C915*0.06</f>
        <v>57.599999999999994</v>
      </c>
      <c r="D916" s="4"/>
      <c r="E916" s="7"/>
    </row>
    <row r="917" spans="1:12" ht="15.75" x14ac:dyDescent="0.25">
      <c r="A917" s="55" t="s">
        <v>29</v>
      </c>
      <c r="B917" s="2"/>
      <c r="C917" s="6">
        <f>C915/3*0.2</f>
        <v>64</v>
      </c>
      <c r="D917" s="6"/>
      <c r="E917" s="7"/>
    </row>
    <row r="918" spans="1:12" ht="15.75" x14ac:dyDescent="0.25">
      <c r="B918" s="2" t="s">
        <v>30</v>
      </c>
      <c r="C918" s="6"/>
      <c r="D918" s="4"/>
      <c r="E918" s="7"/>
    </row>
    <row r="919" spans="1:12" x14ac:dyDescent="0.2">
      <c r="B919" s="2"/>
    </row>
    <row r="920" spans="1:12" x14ac:dyDescent="0.2">
      <c r="A920" s="7" t="s">
        <v>31</v>
      </c>
      <c r="B920" s="8"/>
      <c r="D920" s="9"/>
      <c r="F920" s="9">
        <v>53950</v>
      </c>
      <c r="H920" s="10"/>
      <c r="I920" s="10"/>
    </row>
    <row r="921" spans="1:12" x14ac:dyDescent="0.2">
      <c r="A921" s="7" t="s">
        <v>32</v>
      </c>
      <c r="B921" s="8"/>
      <c r="D921" s="9"/>
      <c r="F921" s="9">
        <v>59350</v>
      </c>
      <c r="H921" s="10"/>
      <c r="I921" s="10"/>
    </row>
    <row r="922" spans="1:12" x14ac:dyDescent="0.2">
      <c r="A922" s="7" t="s">
        <v>33</v>
      </c>
      <c r="B922" s="8"/>
      <c r="D922" s="9"/>
      <c r="F922" s="9">
        <v>36150</v>
      </c>
      <c r="H922" s="10"/>
      <c r="I922" s="10"/>
    </row>
    <row r="923" spans="1:12" x14ac:dyDescent="0.2">
      <c r="A923" s="7"/>
      <c r="B923" s="8"/>
      <c r="C923" s="11"/>
      <c r="D923" s="11"/>
      <c r="H923" s="10"/>
      <c r="I923" s="10"/>
    </row>
    <row r="924" spans="1:12" ht="15.75" x14ac:dyDescent="0.25">
      <c r="B924" s="2"/>
      <c r="J924" s="12" t="s">
        <v>34</v>
      </c>
      <c r="K924" s="412" t="s">
        <v>35</v>
      </c>
      <c r="L924" s="413"/>
    </row>
    <row r="925" spans="1:12" ht="31.5" x14ac:dyDescent="0.25">
      <c r="A925" s="56" t="s">
        <v>36</v>
      </c>
      <c r="B925" s="13"/>
      <c r="C925" s="14" t="s">
        <v>37</v>
      </c>
      <c r="D925" s="15"/>
      <c r="E925" s="12" t="s">
        <v>38</v>
      </c>
      <c r="F925" s="12" t="s">
        <v>39</v>
      </c>
      <c r="G925" s="12" t="s">
        <v>40</v>
      </c>
      <c r="H925" s="12" t="s">
        <v>0</v>
      </c>
      <c r="I925" s="16"/>
      <c r="J925" s="14" t="s">
        <v>41</v>
      </c>
      <c r="K925" s="17" t="s">
        <v>42</v>
      </c>
      <c r="L925" s="12" t="s">
        <v>43</v>
      </c>
    </row>
    <row r="926" spans="1:12" ht="15.75" x14ac:dyDescent="0.25">
      <c r="A926" s="18"/>
      <c r="B926" s="13"/>
      <c r="C926" s="19"/>
      <c r="D926" s="15"/>
      <c r="E926" s="20"/>
      <c r="F926" s="21"/>
      <c r="G926" s="21"/>
      <c r="H926" s="22"/>
      <c r="I926" s="16"/>
      <c r="J926" s="23"/>
      <c r="K926" s="24"/>
      <c r="L926" s="25"/>
    </row>
    <row r="927" spans="1:12" x14ac:dyDescent="0.2">
      <c r="A927" s="55">
        <v>1</v>
      </c>
      <c r="B927" s="2" t="s">
        <v>44</v>
      </c>
      <c r="C927" s="26">
        <v>50000</v>
      </c>
      <c r="D927" s="10"/>
      <c r="E927" s="27"/>
      <c r="F927" s="28"/>
      <c r="G927" s="28">
        <f>+C927</f>
        <v>50000</v>
      </c>
      <c r="H927" s="29">
        <f>SUM(F927+G927)</f>
        <v>50000</v>
      </c>
      <c r="I927" s="10"/>
      <c r="J927" s="30">
        <f>+H927</f>
        <v>50000</v>
      </c>
      <c r="K927" s="28"/>
      <c r="L927" s="29"/>
    </row>
    <row r="928" spans="1:12" x14ac:dyDescent="0.2">
      <c r="B928" s="2"/>
      <c r="C928" s="26"/>
      <c r="D928" s="10"/>
      <c r="E928" s="27"/>
      <c r="F928" s="28"/>
      <c r="G928" s="28"/>
      <c r="H928" s="29"/>
      <c r="I928" s="10"/>
      <c r="J928" s="30"/>
      <c r="K928" s="28"/>
      <c r="L928" s="29"/>
    </row>
    <row r="929" spans="1:12" x14ac:dyDescent="0.2">
      <c r="A929" s="55">
        <v>2</v>
      </c>
      <c r="B929" s="2" t="s">
        <v>45</v>
      </c>
      <c r="C929" s="26">
        <v>77000</v>
      </c>
      <c r="D929" s="10"/>
      <c r="E929" s="27">
        <v>1</v>
      </c>
      <c r="F929" s="28">
        <f>+C929*E929</f>
        <v>77000</v>
      </c>
      <c r="G929" s="28"/>
      <c r="H929" s="29">
        <f>SUM(F929+G929)</f>
        <v>77000</v>
      </c>
      <c r="I929" s="10"/>
      <c r="J929" s="30">
        <f>+H929</f>
        <v>77000</v>
      </c>
      <c r="K929" s="28"/>
      <c r="L929" s="29"/>
    </row>
    <row r="930" spans="1:12" x14ac:dyDescent="0.2">
      <c r="B930" s="2"/>
      <c r="C930" s="26"/>
      <c r="D930" s="10"/>
      <c r="E930" s="27"/>
      <c r="F930" s="28"/>
      <c r="G930" s="28"/>
      <c r="H930" s="29"/>
      <c r="I930" s="10"/>
      <c r="J930" s="30"/>
      <c r="K930" s="28"/>
      <c r="L930" s="29"/>
    </row>
    <row r="931" spans="1:12" ht="30" x14ac:dyDescent="0.2">
      <c r="A931" s="55">
        <v>3</v>
      </c>
      <c r="B931" s="2" t="s">
        <v>81</v>
      </c>
      <c r="C931" s="26">
        <f>+F921</f>
        <v>59350</v>
      </c>
      <c r="D931" s="10"/>
      <c r="E931" s="27">
        <v>1</v>
      </c>
      <c r="F931" s="28">
        <f>+C931*E931</f>
        <v>59350</v>
      </c>
      <c r="G931" s="28"/>
      <c r="H931" s="29">
        <f>SUM(F931+G931)</f>
        <v>59350</v>
      </c>
      <c r="I931" s="10"/>
      <c r="J931" s="30">
        <f>+H931</f>
        <v>59350</v>
      </c>
      <c r="K931" s="28"/>
      <c r="L931" s="29"/>
    </row>
    <row r="932" spans="1:12" x14ac:dyDescent="0.2">
      <c r="B932" s="2"/>
      <c r="C932" s="26"/>
      <c r="D932" s="10"/>
      <c r="E932" s="27"/>
      <c r="F932" s="28"/>
      <c r="G932" s="28"/>
      <c r="H932" s="29"/>
      <c r="I932" s="10"/>
      <c r="J932" s="30"/>
      <c r="K932" s="28"/>
      <c r="L932" s="29"/>
    </row>
    <row r="933" spans="1:12" x14ac:dyDescent="0.2">
      <c r="A933" s="55">
        <v>4</v>
      </c>
      <c r="B933" s="2" t="s">
        <v>46</v>
      </c>
      <c r="C933" s="26">
        <v>39300</v>
      </c>
      <c r="D933" s="10"/>
      <c r="E933" s="27">
        <v>1</v>
      </c>
      <c r="F933" s="28">
        <f>+C933*E933</f>
        <v>39300</v>
      </c>
      <c r="G933" s="28"/>
      <c r="H933" s="29">
        <f>SUM(F933+G933)</f>
        <v>39300</v>
      </c>
      <c r="I933" s="10"/>
      <c r="J933" s="30">
        <f>+H933</f>
        <v>39300</v>
      </c>
      <c r="K933" s="28"/>
      <c r="L933" s="29"/>
    </row>
    <row r="934" spans="1:12" x14ac:dyDescent="0.2">
      <c r="B934" s="2"/>
      <c r="C934" s="26"/>
      <c r="D934" s="10"/>
      <c r="E934" s="27"/>
      <c r="F934" s="28"/>
      <c r="G934" s="28"/>
      <c r="H934" s="29"/>
      <c r="I934" s="10"/>
      <c r="J934" s="30"/>
      <c r="K934" s="28"/>
      <c r="L934" s="29"/>
    </row>
    <row r="935" spans="1:12" x14ac:dyDescent="0.2">
      <c r="A935" s="55">
        <v>5</v>
      </c>
      <c r="B935" s="2" t="s">
        <v>47</v>
      </c>
      <c r="C935" s="26">
        <v>36000</v>
      </c>
      <c r="D935" s="10"/>
      <c r="E935" s="27">
        <v>1</v>
      </c>
      <c r="F935" s="28">
        <f>+C935*E935</f>
        <v>36000</v>
      </c>
      <c r="G935" s="28"/>
      <c r="H935" s="29">
        <f>SUM(F935+G935)</f>
        <v>36000</v>
      </c>
      <c r="I935" s="10"/>
      <c r="J935" s="30">
        <f>+H935</f>
        <v>36000</v>
      </c>
      <c r="K935" s="28"/>
      <c r="L935" s="29"/>
    </row>
    <row r="936" spans="1:12" x14ac:dyDescent="0.2">
      <c r="B936" s="2"/>
      <c r="C936" s="26"/>
      <c r="D936" s="10"/>
      <c r="E936" s="27"/>
      <c r="F936" s="28"/>
      <c r="G936" s="28"/>
      <c r="H936" s="29"/>
      <c r="I936" s="10"/>
      <c r="J936" s="30"/>
      <c r="K936" s="28"/>
      <c r="L936" s="29"/>
    </row>
    <row r="937" spans="1:12" x14ac:dyDescent="0.2">
      <c r="A937" s="55">
        <v>6</v>
      </c>
      <c r="B937" s="2" t="s">
        <v>48</v>
      </c>
      <c r="C937" s="26">
        <v>51000</v>
      </c>
      <c r="D937" s="10"/>
      <c r="E937" s="27">
        <v>1</v>
      </c>
      <c r="F937" s="28">
        <f>+C937*E937</f>
        <v>51000</v>
      </c>
      <c r="G937" s="28"/>
      <c r="H937" s="29">
        <f>SUM(F937+G937)</f>
        <v>51000</v>
      </c>
      <c r="I937" s="10"/>
      <c r="J937" s="30">
        <f>+H937</f>
        <v>51000</v>
      </c>
      <c r="K937" s="28"/>
      <c r="L937" s="29"/>
    </row>
    <row r="938" spans="1:12" x14ac:dyDescent="0.2">
      <c r="B938" s="2"/>
      <c r="C938" s="26"/>
      <c r="D938" s="10"/>
      <c r="E938" s="27"/>
      <c r="F938" s="28"/>
      <c r="G938" s="28"/>
      <c r="H938" s="29"/>
      <c r="I938" s="10"/>
      <c r="J938" s="30"/>
      <c r="K938" s="28"/>
      <c r="L938" s="29"/>
    </row>
    <row r="939" spans="1:12" x14ac:dyDescent="0.2">
      <c r="A939" s="55">
        <v>7</v>
      </c>
      <c r="B939" s="2" t="s">
        <v>49</v>
      </c>
      <c r="C939" s="31">
        <v>0</v>
      </c>
      <c r="D939" s="10"/>
      <c r="E939" s="27"/>
      <c r="F939" s="28"/>
      <c r="G939" s="32">
        <v>0</v>
      </c>
      <c r="H939" s="33">
        <v>0</v>
      </c>
      <c r="I939" s="10"/>
      <c r="J939" s="34">
        <f>+H939</f>
        <v>0</v>
      </c>
      <c r="K939" s="32">
        <v>0</v>
      </c>
      <c r="L939" s="33">
        <v>0</v>
      </c>
    </row>
    <row r="940" spans="1:12" x14ac:dyDescent="0.2">
      <c r="B940" s="2"/>
      <c r="C940" s="26"/>
      <c r="D940" s="10"/>
      <c r="E940" s="27"/>
      <c r="F940" s="28"/>
      <c r="G940" s="28"/>
      <c r="H940" s="29"/>
      <c r="I940" s="10"/>
      <c r="J940" s="30"/>
      <c r="K940" s="28"/>
      <c r="L940" s="29"/>
    </row>
    <row r="941" spans="1:12" x14ac:dyDescent="0.2">
      <c r="A941" s="55">
        <v>8</v>
      </c>
      <c r="B941" s="2" t="s">
        <v>50</v>
      </c>
      <c r="C941" s="26">
        <v>13000</v>
      </c>
      <c r="D941" s="10"/>
      <c r="E941" s="27"/>
      <c r="F941" s="28"/>
      <c r="G941" s="28">
        <f>+C941</f>
        <v>13000</v>
      </c>
      <c r="H941" s="29">
        <f>SUM(F941+G941)</f>
        <v>13000</v>
      </c>
      <c r="I941" s="10"/>
      <c r="J941" s="30">
        <f>+H941</f>
        <v>13000</v>
      </c>
      <c r="K941" s="28"/>
      <c r="L941" s="29"/>
    </row>
    <row r="942" spans="1:12" x14ac:dyDescent="0.2">
      <c r="B942" s="2"/>
      <c r="C942" s="26"/>
      <c r="D942" s="10"/>
      <c r="E942" s="27"/>
      <c r="F942" s="28"/>
      <c r="G942" s="28"/>
      <c r="H942" s="29"/>
      <c r="I942" s="10"/>
      <c r="J942" s="30"/>
      <c r="K942" s="28"/>
      <c r="L942" s="29"/>
    </row>
    <row r="943" spans="1:12" x14ac:dyDescent="0.2">
      <c r="A943" s="55">
        <v>9</v>
      </c>
      <c r="B943" s="2" t="s">
        <v>51</v>
      </c>
      <c r="C943" s="26">
        <v>30000</v>
      </c>
      <c r="D943" s="10"/>
      <c r="E943" s="27"/>
      <c r="F943" s="28"/>
      <c r="G943" s="28">
        <f>+C943</f>
        <v>30000</v>
      </c>
      <c r="H943" s="29">
        <f>SUM(F943+G943)</f>
        <v>30000</v>
      </c>
      <c r="I943" s="10"/>
      <c r="J943" s="30">
        <f>+H943</f>
        <v>30000</v>
      </c>
      <c r="K943" s="28"/>
      <c r="L943" s="29"/>
    </row>
    <row r="944" spans="1:12" x14ac:dyDescent="0.2">
      <c r="B944" s="2"/>
      <c r="C944" s="26"/>
      <c r="D944" s="10"/>
      <c r="E944" s="27"/>
      <c r="F944" s="28"/>
      <c r="G944" s="28"/>
      <c r="H944" s="29"/>
      <c r="I944" s="10"/>
      <c r="J944" s="30"/>
      <c r="K944" s="28"/>
      <c r="L944" s="29"/>
    </row>
    <row r="945" spans="1:12" x14ac:dyDescent="0.2">
      <c r="A945" s="55">
        <v>10</v>
      </c>
      <c r="B945" s="2" t="s">
        <v>52</v>
      </c>
      <c r="C945" s="26">
        <v>40000</v>
      </c>
      <c r="D945" s="10"/>
      <c r="E945" s="27"/>
      <c r="F945" s="28"/>
      <c r="G945" s="28">
        <f>+C945</f>
        <v>40000</v>
      </c>
      <c r="H945" s="29">
        <f>SUM(F945+G945)</f>
        <v>40000</v>
      </c>
      <c r="I945" s="10"/>
      <c r="J945" s="30">
        <f>+H945</f>
        <v>40000</v>
      </c>
      <c r="K945" s="28"/>
      <c r="L945" s="29"/>
    </row>
    <row r="946" spans="1:12" x14ac:dyDescent="0.2">
      <c r="B946" s="2"/>
      <c r="C946" s="26"/>
      <c r="D946" s="10"/>
      <c r="E946" s="27"/>
      <c r="F946" s="28"/>
      <c r="G946" s="28"/>
      <c r="H946" s="29"/>
      <c r="I946" s="10"/>
      <c r="J946" s="30"/>
      <c r="K946" s="28"/>
      <c r="L946" s="29"/>
    </row>
    <row r="947" spans="1:12" ht="30" x14ac:dyDescent="0.2">
      <c r="A947" s="55">
        <v>11</v>
      </c>
      <c r="B947" s="2" t="s">
        <v>53</v>
      </c>
      <c r="C947" s="26"/>
      <c r="D947" s="10"/>
      <c r="E947" s="27"/>
      <c r="F947" s="28"/>
      <c r="G947" s="28">
        <f>ROUND((F929+F931+F933+F935+F937+F949+F953+F955+F957+F960+F962+F964+F966)*0.15,0)</f>
        <v>174661</v>
      </c>
      <c r="H947" s="60">
        <f>SUM(F947+G947)</f>
        <v>174661</v>
      </c>
      <c r="I947" s="10"/>
      <c r="J947" s="30">
        <f>ROUND((SUM(F929:F937)*0.15),0)</f>
        <v>39398</v>
      </c>
      <c r="K947" s="32">
        <f>ROUND(SUM(F949:F964)*0.15,0)</f>
        <v>110986</v>
      </c>
      <c r="L947" s="33">
        <f>ROUND(F966*0.15,0)</f>
        <v>24278</v>
      </c>
    </row>
    <row r="948" spans="1:12" x14ac:dyDescent="0.2">
      <c r="B948" s="2"/>
      <c r="C948" s="26"/>
      <c r="D948" s="10"/>
      <c r="E948" s="27"/>
      <c r="F948" s="28"/>
      <c r="G948" s="28"/>
      <c r="H948" s="29"/>
      <c r="I948" s="10"/>
      <c r="J948" s="30"/>
      <c r="K948" s="32"/>
      <c r="L948" s="33"/>
    </row>
    <row r="949" spans="1:12" x14ac:dyDescent="0.2">
      <c r="A949" s="55">
        <v>12</v>
      </c>
      <c r="B949" s="2" t="s">
        <v>54</v>
      </c>
      <c r="C949" s="26"/>
      <c r="D949" s="10"/>
      <c r="E949" s="27"/>
      <c r="F949" s="28">
        <f>(F929+F931+F933+F935+F937+F953+F955+F957+F960+F962+F964+F966)*0.2045</f>
        <v>197693.2175</v>
      </c>
      <c r="G949" s="28"/>
      <c r="H949" s="29">
        <f>(+H929+H931+H933+H935+H937+H953+H955+H957+H960+H962+H964+H966)*0.2045</f>
        <v>197693.2175</v>
      </c>
      <c r="I949" s="10"/>
      <c r="J949" s="30">
        <f>ROUND((SUM(F929:F937)*0.2045),0)</f>
        <v>53712</v>
      </c>
      <c r="K949" s="32">
        <f>ROUND((SUM(F953:F964)*0.2045),0)</f>
        <v>110883</v>
      </c>
      <c r="L949" s="33">
        <f>ROUND(F966*0.2045,0)</f>
        <v>33098</v>
      </c>
    </row>
    <row r="950" spans="1:12" x14ac:dyDescent="0.2">
      <c r="B950" s="2"/>
      <c r="C950" s="26"/>
      <c r="D950" s="10"/>
      <c r="E950" s="27"/>
      <c r="F950" s="28"/>
      <c r="G950" s="28"/>
      <c r="H950" s="29"/>
      <c r="I950" s="10"/>
      <c r="J950" s="30"/>
      <c r="K950" s="32"/>
      <c r="L950" s="33"/>
    </row>
    <row r="951" spans="1:12" x14ac:dyDescent="0.2">
      <c r="A951" s="55">
        <v>13</v>
      </c>
      <c r="B951" s="2" t="s">
        <v>55</v>
      </c>
      <c r="C951" s="26">
        <v>2000</v>
      </c>
      <c r="D951" s="10"/>
      <c r="E951" s="27"/>
      <c r="F951" s="28"/>
      <c r="G951" s="28">
        <f>E974*2000</f>
        <v>36000</v>
      </c>
      <c r="H951" s="29">
        <f>SUM(F951:G951)</f>
        <v>36000</v>
      </c>
      <c r="I951" s="10"/>
      <c r="J951" s="30">
        <f>(E929+E931+E933+E935+E937)*2000</f>
        <v>10000</v>
      </c>
      <c r="K951" s="32">
        <f>ROUND(SUM(E955:E964)*2000,0)</f>
        <v>20000</v>
      </c>
      <c r="L951" s="33">
        <f>ROUND(E966*2000,0)</f>
        <v>6000</v>
      </c>
    </row>
    <row r="952" spans="1:12" x14ac:dyDescent="0.2">
      <c r="B952" s="2"/>
      <c r="C952" s="26"/>
      <c r="D952" s="10"/>
      <c r="E952" s="27"/>
      <c r="F952" s="28"/>
      <c r="G952" s="28"/>
      <c r="H952" s="29"/>
      <c r="I952" s="10"/>
      <c r="J952" s="30"/>
      <c r="K952" s="32"/>
      <c r="L952" s="33"/>
    </row>
    <row r="953" spans="1:12" ht="30" x14ac:dyDescent="0.2">
      <c r="A953" s="55">
        <v>14</v>
      </c>
      <c r="B953" s="2" t="s">
        <v>56</v>
      </c>
      <c r="C953" s="26"/>
      <c r="D953" s="10"/>
      <c r="E953" s="27"/>
      <c r="F953" s="28">
        <f>(F960+F964+F966+F955)*0.05</f>
        <v>27515</v>
      </c>
      <c r="G953" s="28"/>
      <c r="H953" s="29">
        <f>SUM(F953:G953)</f>
        <v>27515</v>
      </c>
      <c r="I953" s="10"/>
      <c r="J953" s="30"/>
      <c r="K953" s="32">
        <f>ROUND((+F955+F960+F964)*0.05,0)</f>
        <v>19423</v>
      </c>
      <c r="L953" s="33">
        <f>ROUND(F966*0.05,0)</f>
        <v>8093</v>
      </c>
    </row>
    <row r="954" spans="1:12" x14ac:dyDescent="0.2">
      <c r="B954" s="2"/>
      <c r="C954" s="26"/>
      <c r="D954" s="10"/>
      <c r="E954" s="27"/>
      <c r="F954" s="28"/>
      <c r="G954" s="28"/>
      <c r="H954" s="29"/>
      <c r="I954" s="10"/>
      <c r="J954" s="30"/>
      <c r="K954" s="28"/>
      <c r="L954" s="29"/>
    </row>
    <row r="955" spans="1:12" x14ac:dyDescent="0.2">
      <c r="A955" s="55">
        <v>15</v>
      </c>
      <c r="B955" s="2" t="s">
        <v>57</v>
      </c>
      <c r="C955" s="26">
        <f>+F921</f>
        <v>59350</v>
      </c>
      <c r="D955" s="10"/>
      <c r="E955" s="27">
        <f>ROUND((E966+E964+E962+E960+E957)/6,0)</f>
        <v>2</v>
      </c>
      <c r="F955" s="28">
        <f>F921*E955</f>
        <v>118700</v>
      </c>
      <c r="G955" s="28"/>
      <c r="H955" s="29">
        <f>SUM(F955:G955)</f>
        <v>118700</v>
      </c>
      <c r="I955" s="10"/>
      <c r="J955" s="27"/>
      <c r="K955" s="32">
        <f>ROUND(F955*((+E$49+E$51+E$53)/(E$49+E$51+E$53+E$55)),0)</f>
        <v>74772</v>
      </c>
      <c r="L955" s="33">
        <f>ROUND((+F955*(E$55/(+E$49+E$51+E$53+E$55))),0)</f>
        <v>43928</v>
      </c>
    </row>
    <row r="956" spans="1:12" x14ac:dyDescent="0.2">
      <c r="B956" s="2"/>
      <c r="C956" s="26"/>
      <c r="D956" s="10"/>
      <c r="E956" s="27"/>
      <c r="F956" s="28"/>
      <c r="G956" s="28"/>
      <c r="H956" s="29"/>
      <c r="I956" s="10"/>
      <c r="J956" s="30"/>
      <c r="K956" s="28"/>
      <c r="L956" s="29"/>
    </row>
    <row r="957" spans="1:12" x14ac:dyDescent="0.2">
      <c r="A957" s="55">
        <v>16</v>
      </c>
      <c r="B957" s="2" t="s">
        <v>58</v>
      </c>
      <c r="C957" s="26">
        <f>+F922</f>
        <v>36150</v>
      </c>
      <c r="D957" s="10"/>
      <c r="E957" s="27">
        <f>ROUND((E966+E964+E962+E960)/5,0)</f>
        <v>2</v>
      </c>
      <c r="F957" s="28">
        <f>F922*E957</f>
        <v>72300</v>
      </c>
      <c r="G957" s="28"/>
      <c r="H957" s="29">
        <f>SUM(F957:G957)</f>
        <v>72300</v>
      </c>
      <c r="I957" s="10"/>
      <c r="J957" s="30"/>
      <c r="K957" s="32">
        <f>ROUND(F957*((+E$49+E$51+E$53)/(E$49+E$51+E$53+E$55)),0)</f>
        <v>45543</v>
      </c>
      <c r="L957" s="33">
        <f>ROUND((+F957*(E$55/(+E$49+E$51+E$53+E$55))),0)</f>
        <v>26757</v>
      </c>
    </row>
    <row r="958" spans="1:12" x14ac:dyDescent="0.2">
      <c r="B958" s="2"/>
      <c r="C958" s="26"/>
      <c r="D958" s="10"/>
      <c r="E958" s="27"/>
      <c r="F958" s="28"/>
      <c r="G958" s="28"/>
      <c r="H958" s="29"/>
      <c r="I958" s="10"/>
      <c r="J958" s="30"/>
      <c r="K958" s="28"/>
      <c r="L958" s="29"/>
    </row>
    <row r="959" spans="1:12" ht="15.75" x14ac:dyDescent="0.25">
      <c r="A959" s="18" t="s">
        <v>59</v>
      </c>
      <c r="B959" s="2"/>
      <c r="C959" s="26"/>
      <c r="D959" s="10"/>
      <c r="E959" s="27"/>
      <c r="F959" s="28"/>
      <c r="G959" s="28"/>
      <c r="H959" s="29"/>
      <c r="I959" s="10"/>
      <c r="J959" s="30"/>
      <c r="K959" s="28"/>
      <c r="L959" s="29"/>
    </row>
    <row r="960" spans="1:12" x14ac:dyDescent="0.2">
      <c r="A960" s="36">
        <v>17</v>
      </c>
      <c r="B960" s="37" t="s">
        <v>60</v>
      </c>
      <c r="C960" s="38">
        <f>+F920</f>
        <v>53950</v>
      </c>
      <c r="D960" s="39"/>
      <c r="E960" s="40">
        <f>ROUND(C916/30,0)</f>
        <v>2</v>
      </c>
      <c r="F960" s="41">
        <f>F920*E960</f>
        <v>107900</v>
      </c>
      <c r="G960" s="41"/>
      <c r="H960" s="35">
        <f>SUM(F960:G960)</f>
        <v>107900</v>
      </c>
      <c r="I960" s="39"/>
      <c r="J960" s="42"/>
      <c r="K960" s="28">
        <f>F920*E960</f>
        <v>107900</v>
      </c>
      <c r="L960" s="29"/>
    </row>
    <row r="961" spans="1:12" x14ac:dyDescent="0.2">
      <c r="A961" s="37"/>
      <c r="B961" s="37"/>
      <c r="C961" s="26"/>
      <c r="D961" s="10"/>
      <c r="E961" s="27"/>
      <c r="F961" s="28"/>
      <c r="G961" s="28"/>
      <c r="H961" s="29"/>
      <c r="I961" s="10"/>
      <c r="J961" s="30"/>
      <c r="K961" s="28"/>
      <c r="L961" s="29"/>
    </row>
    <row r="962" spans="1:12" ht="30" x14ac:dyDescent="0.2">
      <c r="A962" s="36">
        <v>18</v>
      </c>
      <c r="B962" s="37" t="s">
        <v>61</v>
      </c>
      <c r="C962" s="26">
        <f>+F920</f>
        <v>53950</v>
      </c>
      <c r="D962" s="10"/>
      <c r="E962" s="27">
        <v>1</v>
      </c>
      <c r="F962" s="28">
        <f>F920*E962</f>
        <v>53950</v>
      </c>
      <c r="G962" s="28"/>
      <c r="H962" s="29">
        <f>SUM(F962:G962)</f>
        <v>53950</v>
      </c>
      <c r="I962" s="10"/>
      <c r="J962" s="30" t="s">
        <v>62</v>
      </c>
      <c r="K962" s="28">
        <f>ROUND(E962*F920,0)</f>
        <v>53950</v>
      </c>
      <c r="L962" s="29"/>
    </row>
    <row r="963" spans="1:12" x14ac:dyDescent="0.2">
      <c r="A963" s="37"/>
      <c r="B963" s="37"/>
      <c r="C963" s="26"/>
      <c r="D963" s="10"/>
      <c r="E963" s="27"/>
      <c r="F963" s="28"/>
      <c r="G963" s="28"/>
      <c r="H963" s="29"/>
      <c r="I963" s="10"/>
      <c r="J963" s="30"/>
      <c r="K963" s="28"/>
      <c r="L963" s="29"/>
    </row>
    <row r="964" spans="1:12" x14ac:dyDescent="0.2">
      <c r="A964" s="37">
        <v>19</v>
      </c>
      <c r="B964" s="37" t="s">
        <v>63</v>
      </c>
      <c r="C964" s="26">
        <f>+F920</f>
        <v>53950</v>
      </c>
      <c r="D964" s="10"/>
      <c r="E964" s="27">
        <f>ROUND(C916/20,0)</f>
        <v>3</v>
      </c>
      <c r="F964" s="28">
        <f>F920*E964</f>
        <v>161850</v>
      </c>
      <c r="G964" s="28"/>
      <c r="H964" s="29">
        <f>SUM(F964:G964)</f>
        <v>161850</v>
      </c>
      <c r="I964" s="10"/>
      <c r="J964" s="30"/>
      <c r="K964" s="28">
        <f>F920*E964</f>
        <v>161850</v>
      </c>
      <c r="L964" s="29"/>
    </row>
    <row r="965" spans="1:12" x14ac:dyDescent="0.2">
      <c r="A965" s="37"/>
      <c r="B965" s="37"/>
      <c r="C965" s="26"/>
      <c r="D965" s="10"/>
      <c r="E965" s="27"/>
      <c r="F965" s="28"/>
      <c r="G965" s="28"/>
      <c r="H965" s="29"/>
      <c r="I965" s="10"/>
      <c r="J965" s="30"/>
      <c r="K965" s="28"/>
      <c r="L965" s="29"/>
    </row>
    <row r="966" spans="1:12" x14ac:dyDescent="0.2">
      <c r="A966" s="37">
        <v>20</v>
      </c>
      <c r="B966" s="37" t="s">
        <v>64</v>
      </c>
      <c r="C966" s="26">
        <f>+F920</f>
        <v>53950</v>
      </c>
      <c r="D966" s="10"/>
      <c r="E966" s="27">
        <f>ROUND(C917/20,0)</f>
        <v>3</v>
      </c>
      <c r="F966" s="28">
        <f>F920*E966</f>
        <v>161850</v>
      </c>
      <c r="G966" s="28"/>
      <c r="H966" s="29">
        <f>SUM(F966:G966)</f>
        <v>161850</v>
      </c>
      <c r="I966" s="10"/>
      <c r="J966" s="30"/>
      <c r="K966" s="28"/>
      <c r="L966" s="29">
        <f>F920*E966</f>
        <v>161850</v>
      </c>
    </row>
    <row r="967" spans="1:12" x14ac:dyDescent="0.2">
      <c r="A967" s="37"/>
      <c r="B967" s="37"/>
      <c r="C967" s="26"/>
      <c r="D967" s="10"/>
      <c r="E967" s="27"/>
      <c r="F967" s="28"/>
      <c r="G967" s="28"/>
      <c r="H967" s="29"/>
      <c r="I967" s="10"/>
      <c r="J967" s="30"/>
      <c r="K967" s="28"/>
      <c r="L967" s="29"/>
    </row>
    <row r="968" spans="1:12" x14ac:dyDescent="0.2">
      <c r="A968" s="37">
        <v>21</v>
      </c>
      <c r="B968" s="37" t="s">
        <v>65</v>
      </c>
      <c r="C968" s="31"/>
      <c r="D968" s="43"/>
      <c r="E968" s="27"/>
      <c r="F968" s="28"/>
      <c r="G968" s="28">
        <f>ROUND(125*C915,0)</f>
        <v>120000</v>
      </c>
      <c r="H968" s="29">
        <f>SUM(F968:G968)</f>
        <v>120000</v>
      </c>
      <c r="I968" s="10"/>
      <c r="J968" s="30" t="s">
        <v>62</v>
      </c>
      <c r="K968" s="29">
        <f>ROUND(125/2*C915,0)</f>
        <v>60000</v>
      </c>
      <c r="L968" s="29">
        <f>ROUND(125/2*C915,0)</f>
        <v>60000</v>
      </c>
    </row>
    <row r="969" spans="1:12" x14ac:dyDescent="0.2">
      <c r="A969" s="37"/>
      <c r="B969" s="37"/>
      <c r="C969" s="26"/>
      <c r="D969" s="10"/>
      <c r="E969" s="27"/>
      <c r="F969" s="28"/>
      <c r="G969" s="28"/>
      <c r="H969" s="29"/>
      <c r="I969" s="10"/>
      <c r="J969" s="30"/>
      <c r="K969" s="28"/>
      <c r="L969" s="29"/>
    </row>
    <row r="970" spans="1:12" x14ac:dyDescent="0.2">
      <c r="A970" s="37">
        <v>22</v>
      </c>
      <c r="B970" s="37" t="s">
        <v>66</v>
      </c>
      <c r="C970" s="26">
        <v>10000</v>
      </c>
      <c r="D970" s="10"/>
      <c r="E970" s="27"/>
      <c r="F970" s="28"/>
      <c r="G970" s="28">
        <f>((E929+E955+E960+E962+E964+E966)*10000)</f>
        <v>120000</v>
      </c>
      <c r="H970" s="29">
        <f>SUM(F970:G970)</f>
        <v>120000</v>
      </c>
      <c r="I970" s="10"/>
      <c r="J970" s="30">
        <f>ROUND(10000*E929,0)</f>
        <v>10000</v>
      </c>
      <c r="K970" s="32">
        <f>(ROUND(10000*(+E964+E962+E960+E955),0))</f>
        <v>80000</v>
      </c>
      <c r="L970" s="33">
        <f>ROUND(10000*E966,0)</f>
        <v>30000</v>
      </c>
    </row>
    <row r="971" spans="1:12" x14ac:dyDescent="0.2">
      <c r="A971" s="37"/>
      <c r="B971" s="37"/>
      <c r="C971" s="26"/>
      <c r="D971" s="10"/>
      <c r="E971" s="27"/>
      <c r="F971" s="28"/>
      <c r="G971" s="28"/>
      <c r="H971" s="29"/>
      <c r="I971" s="10"/>
      <c r="J971" s="30"/>
      <c r="K971" s="32"/>
      <c r="L971" s="33"/>
    </row>
    <row r="972" spans="1:12" x14ac:dyDescent="0.2">
      <c r="A972" s="37">
        <v>23</v>
      </c>
      <c r="B972" s="37" t="s">
        <v>82</v>
      </c>
      <c r="C972" s="26"/>
      <c r="D972" s="10"/>
      <c r="E972" s="27"/>
      <c r="F972" s="28"/>
      <c r="G972" s="28">
        <v>16600</v>
      </c>
      <c r="H972" s="29">
        <f>+G972</f>
        <v>16600</v>
      </c>
      <c r="I972" s="10"/>
      <c r="J972" s="30"/>
      <c r="K972" s="32"/>
      <c r="L972" s="33">
        <f>+H972</f>
        <v>16600</v>
      </c>
    </row>
    <row r="973" spans="1:12" x14ac:dyDescent="0.2">
      <c r="B973" s="2"/>
      <c r="C973" s="26"/>
      <c r="D973" s="10"/>
      <c r="E973" s="27"/>
      <c r="F973" s="28"/>
      <c r="G973" s="28"/>
      <c r="H973" s="29"/>
      <c r="I973" s="10"/>
      <c r="J973" s="30"/>
      <c r="K973" s="28"/>
      <c r="L973" s="29"/>
    </row>
    <row r="974" spans="1:12" ht="15.75" x14ac:dyDescent="0.25">
      <c r="B974" s="3" t="s">
        <v>67</v>
      </c>
      <c r="C974" s="44"/>
      <c r="D974" s="10"/>
      <c r="E974" s="45">
        <f>SUM(E927:E970)</f>
        <v>18</v>
      </c>
      <c r="F974" s="46">
        <f>SUM(F927:F972)</f>
        <v>1164408.2175</v>
      </c>
      <c r="G974" s="46">
        <f>SUM(G927:G972)</f>
        <v>600261</v>
      </c>
      <c r="H974" s="47">
        <f>SUM(H927:H973)</f>
        <v>1764669.2175</v>
      </c>
      <c r="I974" s="10"/>
      <c r="J974" s="48">
        <f>SUM(J927:J972)</f>
        <v>508760</v>
      </c>
      <c r="K974" s="46">
        <f>SUM(K927:K973)</f>
        <v>845307</v>
      </c>
      <c r="L974" s="47">
        <f>SUM(L927:L973)</f>
        <v>410604</v>
      </c>
    </row>
    <row r="975" spans="1:12" x14ac:dyDescent="0.2">
      <c r="B975" s="49"/>
      <c r="J975" s="50"/>
      <c r="L975" s="50"/>
    </row>
    <row r="976" spans="1:12" x14ac:dyDescent="0.2">
      <c r="B976" s="49"/>
      <c r="J976" s="50"/>
      <c r="L976" s="50"/>
    </row>
    <row r="977" spans="1:12" x14ac:dyDescent="0.2">
      <c r="A977" s="37">
        <v>24</v>
      </c>
      <c r="B977" s="55" t="s">
        <v>68</v>
      </c>
      <c r="C977" s="8"/>
      <c r="D977" s="8"/>
      <c r="E977" s="11"/>
      <c r="L977" s="10">
        <f>+J974+K974+L974</f>
        <v>1764671</v>
      </c>
    </row>
    <row r="978" spans="1:12" x14ac:dyDescent="0.2">
      <c r="A978" s="37">
        <v>25</v>
      </c>
      <c r="B978" s="55" t="s">
        <v>69</v>
      </c>
      <c r="C978" s="7"/>
      <c r="D978" s="7"/>
      <c r="E978" s="11"/>
      <c r="L978" s="10">
        <v>951455</v>
      </c>
    </row>
    <row r="979" spans="1:12" ht="15.75" x14ac:dyDescent="0.25">
      <c r="A979" s="37">
        <v>26</v>
      </c>
      <c r="B979" s="55" t="s">
        <v>182</v>
      </c>
      <c r="C979" s="7"/>
      <c r="D979" s="7"/>
      <c r="E979" s="11"/>
      <c r="J979" s="10" t="s">
        <v>62</v>
      </c>
      <c r="L979" s="51">
        <f>+L977-L978</f>
        <v>813216</v>
      </c>
    </row>
    <row r="980" spans="1:12" x14ac:dyDescent="0.2">
      <c r="B980" s="8"/>
      <c r="C980" s="7"/>
      <c r="D980" s="7"/>
      <c r="E980" s="11"/>
      <c r="J980" s="10"/>
      <c r="L980" s="10"/>
    </row>
    <row r="981" spans="1:12" ht="78.75" x14ac:dyDescent="0.25">
      <c r="B981" s="8"/>
      <c r="C981" s="7"/>
      <c r="D981" s="7"/>
      <c r="E981" s="11"/>
      <c r="J981" s="51" t="s">
        <v>71</v>
      </c>
      <c r="K981" s="52" t="s">
        <v>72</v>
      </c>
      <c r="L981" s="53" t="s">
        <v>73</v>
      </c>
    </row>
    <row r="982" spans="1:12" ht="15.75" x14ac:dyDescent="0.25">
      <c r="B982" s="8" t="s">
        <v>74</v>
      </c>
      <c r="C982" s="7"/>
      <c r="D982" s="7"/>
      <c r="E982" s="11"/>
      <c r="J982" s="10">
        <f>+J974+K974</f>
        <v>1354067</v>
      </c>
      <c r="K982" s="10">
        <f>+L978</f>
        <v>951455</v>
      </c>
      <c r="L982" s="51">
        <f>+J982-K982</f>
        <v>402612</v>
      </c>
    </row>
    <row r="983" spans="1:12" ht="15.75" x14ac:dyDescent="0.25">
      <c r="B983" s="54" t="s">
        <v>75</v>
      </c>
      <c r="C983" s="7"/>
      <c r="D983" s="7"/>
      <c r="E983" s="11"/>
      <c r="J983" s="10">
        <f>+L974</f>
        <v>410604</v>
      </c>
      <c r="K983" s="10" t="s">
        <v>62</v>
      </c>
      <c r="L983" s="51">
        <f>+J983</f>
        <v>410604</v>
      </c>
    </row>
    <row r="987" spans="1:12" x14ac:dyDescent="0.2">
      <c r="A987" s="1" t="s">
        <v>23</v>
      </c>
      <c r="B987" s="2"/>
    </row>
    <row r="988" spans="1:12" ht="15.75" x14ac:dyDescent="0.25">
      <c r="A988" s="56" t="s">
        <v>24</v>
      </c>
      <c r="B988" s="3"/>
      <c r="C988" s="56" t="s">
        <v>191</v>
      </c>
    </row>
    <row r="989" spans="1:12" x14ac:dyDescent="0.2">
      <c r="A989" s="55" t="s">
        <v>26</v>
      </c>
      <c r="B989" s="2"/>
    </row>
    <row r="990" spans="1:12" x14ac:dyDescent="0.2">
      <c r="B990" s="2"/>
      <c r="C990" s="4"/>
      <c r="D990" s="4"/>
    </row>
    <row r="991" spans="1:12" x14ac:dyDescent="0.2">
      <c r="B991" s="2"/>
      <c r="C991" s="5"/>
      <c r="D991" s="5"/>
    </row>
    <row r="992" spans="1:12" ht="15.75" x14ac:dyDescent="0.25">
      <c r="A992" s="55" t="s">
        <v>27</v>
      </c>
      <c r="B992" s="2"/>
      <c r="C992" s="6">
        <v>1291</v>
      </c>
      <c r="D992" s="4"/>
      <c r="E992" s="7"/>
    </row>
    <row r="993" spans="1:12" ht="15.75" x14ac:dyDescent="0.25">
      <c r="A993" s="55" t="s">
        <v>28</v>
      </c>
      <c r="B993" s="2"/>
      <c r="C993" s="6">
        <f>C992*0.06</f>
        <v>77.459999999999994</v>
      </c>
      <c r="D993" s="4"/>
      <c r="E993" s="7"/>
    </row>
    <row r="994" spans="1:12" ht="15.75" x14ac:dyDescent="0.25">
      <c r="A994" s="55" t="s">
        <v>29</v>
      </c>
      <c r="B994" s="2"/>
      <c r="C994" s="6">
        <f>C992/3*0.2</f>
        <v>86.066666666666663</v>
      </c>
      <c r="D994" s="6"/>
      <c r="E994" s="7"/>
    </row>
    <row r="995" spans="1:12" ht="15.75" x14ac:dyDescent="0.25">
      <c r="B995" s="2" t="s">
        <v>30</v>
      </c>
      <c r="C995" s="6"/>
      <c r="D995" s="4"/>
      <c r="E995" s="7"/>
    </row>
    <row r="996" spans="1:12" x14ac:dyDescent="0.2">
      <c r="B996" s="2"/>
    </row>
    <row r="997" spans="1:12" x14ac:dyDescent="0.2">
      <c r="A997" s="7" t="s">
        <v>31</v>
      </c>
      <c r="B997" s="8"/>
      <c r="D997" s="9"/>
      <c r="F997" s="9">
        <v>53950</v>
      </c>
      <c r="H997" s="10"/>
      <c r="I997" s="10"/>
    </row>
    <row r="998" spans="1:12" x14ac:dyDescent="0.2">
      <c r="A998" s="7" t="s">
        <v>32</v>
      </c>
      <c r="B998" s="8"/>
      <c r="D998" s="9"/>
      <c r="F998" s="9">
        <v>59350</v>
      </c>
      <c r="H998" s="10"/>
      <c r="I998" s="10"/>
    </row>
    <row r="999" spans="1:12" x14ac:dyDescent="0.2">
      <c r="A999" s="7" t="s">
        <v>33</v>
      </c>
      <c r="B999" s="8"/>
      <c r="D999" s="9"/>
      <c r="F999" s="9">
        <v>36150</v>
      </c>
      <c r="H999" s="10"/>
      <c r="I999" s="10"/>
    </row>
    <row r="1000" spans="1:12" x14ac:dyDescent="0.2">
      <c r="A1000" s="7"/>
      <c r="B1000" s="8"/>
      <c r="C1000" s="11"/>
      <c r="D1000" s="11"/>
      <c r="H1000" s="10"/>
      <c r="I1000" s="10"/>
    </row>
    <row r="1001" spans="1:12" ht="15.75" x14ac:dyDescent="0.25">
      <c r="B1001" s="2"/>
      <c r="J1001" s="12" t="s">
        <v>34</v>
      </c>
      <c r="K1001" s="412" t="s">
        <v>35</v>
      </c>
      <c r="L1001" s="413"/>
    </row>
    <row r="1002" spans="1:12" ht="31.5" x14ac:dyDescent="0.25">
      <c r="A1002" s="56" t="s">
        <v>36</v>
      </c>
      <c r="B1002" s="13"/>
      <c r="C1002" s="14" t="s">
        <v>37</v>
      </c>
      <c r="D1002" s="15"/>
      <c r="E1002" s="12" t="s">
        <v>38</v>
      </c>
      <c r="F1002" s="12" t="s">
        <v>39</v>
      </c>
      <c r="G1002" s="12" t="s">
        <v>40</v>
      </c>
      <c r="H1002" s="12" t="s">
        <v>0</v>
      </c>
      <c r="I1002" s="16"/>
      <c r="J1002" s="14" t="s">
        <v>41</v>
      </c>
      <c r="K1002" s="17" t="s">
        <v>42</v>
      </c>
      <c r="L1002" s="12" t="s">
        <v>43</v>
      </c>
    </row>
    <row r="1003" spans="1:12" ht="15.75" x14ac:dyDescent="0.25">
      <c r="A1003" s="18"/>
      <c r="B1003" s="13"/>
      <c r="C1003" s="19"/>
      <c r="D1003" s="15"/>
      <c r="E1003" s="20"/>
      <c r="F1003" s="21"/>
      <c r="G1003" s="21"/>
      <c r="H1003" s="22"/>
      <c r="I1003" s="16"/>
      <c r="J1003" s="23"/>
      <c r="K1003" s="24"/>
      <c r="L1003" s="25"/>
    </row>
    <row r="1004" spans="1:12" x14ac:dyDescent="0.2">
      <c r="A1004" s="55">
        <v>1</v>
      </c>
      <c r="B1004" s="2" t="s">
        <v>44</v>
      </c>
      <c r="C1004" s="26">
        <v>50000</v>
      </c>
      <c r="D1004" s="10"/>
      <c r="E1004" s="27"/>
      <c r="F1004" s="28"/>
      <c r="G1004" s="28">
        <f>+C1004</f>
        <v>50000</v>
      </c>
      <c r="H1004" s="29">
        <f>SUM(F1004+G1004)</f>
        <v>50000</v>
      </c>
      <c r="I1004" s="10"/>
      <c r="J1004" s="30">
        <f>+H1004</f>
        <v>50000</v>
      </c>
      <c r="K1004" s="28"/>
      <c r="L1004" s="29"/>
    </row>
    <row r="1005" spans="1:12" x14ac:dyDescent="0.2">
      <c r="B1005" s="2"/>
      <c r="C1005" s="26"/>
      <c r="D1005" s="10"/>
      <c r="E1005" s="27"/>
      <c r="F1005" s="28"/>
      <c r="G1005" s="28"/>
      <c r="H1005" s="29"/>
      <c r="I1005" s="10"/>
      <c r="J1005" s="30"/>
      <c r="K1005" s="28"/>
      <c r="L1005" s="29"/>
    </row>
    <row r="1006" spans="1:12" x14ac:dyDescent="0.2">
      <c r="A1006" s="55">
        <v>2</v>
      </c>
      <c r="B1006" s="2" t="s">
        <v>45</v>
      </c>
      <c r="C1006" s="26">
        <v>77000</v>
      </c>
      <c r="D1006" s="10"/>
      <c r="E1006" s="27">
        <v>1</v>
      </c>
      <c r="F1006" s="28">
        <f>+C1006*E1006</f>
        <v>77000</v>
      </c>
      <c r="G1006" s="28"/>
      <c r="H1006" s="29">
        <f>SUM(F1006+G1006)</f>
        <v>77000</v>
      </c>
      <c r="I1006" s="10"/>
      <c r="J1006" s="30">
        <f>+H1006</f>
        <v>77000</v>
      </c>
      <c r="K1006" s="28"/>
      <c r="L1006" s="29"/>
    </row>
    <row r="1007" spans="1:12" x14ac:dyDescent="0.2">
      <c r="B1007" s="2"/>
      <c r="C1007" s="26"/>
      <c r="D1007" s="10"/>
      <c r="E1007" s="27"/>
      <c r="F1007" s="28"/>
      <c r="G1007" s="28"/>
      <c r="H1007" s="29"/>
      <c r="I1007" s="10"/>
      <c r="J1007" s="30"/>
      <c r="K1007" s="28"/>
      <c r="L1007" s="29"/>
    </row>
    <row r="1008" spans="1:12" ht="30" x14ac:dyDescent="0.2">
      <c r="A1008" s="55">
        <v>3</v>
      </c>
      <c r="B1008" s="2" t="s">
        <v>81</v>
      </c>
      <c r="C1008" s="26">
        <f>+F998</f>
        <v>59350</v>
      </c>
      <c r="D1008" s="10"/>
      <c r="E1008" s="27">
        <v>1</v>
      </c>
      <c r="F1008" s="28">
        <f>+C1008*E1008</f>
        <v>59350</v>
      </c>
      <c r="G1008" s="28"/>
      <c r="H1008" s="29">
        <f>SUM(F1008+G1008)</f>
        <v>59350</v>
      </c>
      <c r="I1008" s="10"/>
      <c r="J1008" s="30">
        <f>+H1008</f>
        <v>59350</v>
      </c>
      <c r="K1008" s="28"/>
      <c r="L1008" s="29"/>
    </row>
    <row r="1009" spans="1:12" x14ac:dyDescent="0.2">
      <c r="B1009" s="2"/>
      <c r="C1009" s="26"/>
      <c r="D1009" s="10"/>
      <c r="E1009" s="27"/>
      <c r="F1009" s="28"/>
      <c r="G1009" s="28"/>
      <c r="H1009" s="29"/>
      <c r="I1009" s="10"/>
      <c r="J1009" s="30"/>
      <c r="K1009" s="28"/>
      <c r="L1009" s="29"/>
    </row>
    <row r="1010" spans="1:12" x14ac:dyDescent="0.2">
      <c r="A1010" s="55">
        <v>4</v>
      </c>
      <c r="B1010" s="2" t="s">
        <v>46</v>
      </c>
      <c r="C1010" s="26">
        <v>39300</v>
      </c>
      <c r="D1010" s="10"/>
      <c r="E1010" s="27">
        <v>1</v>
      </c>
      <c r="F1010" s="28">
        <f>+C1010*E1010</f>
        <v>39300</v>
      </c>
      <c r="G1010" s="28"/>
      <c r="H1010" s="29">
        <f>SUM(F1010+G1010)</f>
        <v>39300</v>
      </c>
      <c r="I1010" s="10"/>
      <c r="J1010" s="30">
        <f>+H1010</f>
        <v>39300</v>
      </c>
      <c r="K1010" s="28"/>
      <c r="L1010" s="29"/>
    </row>
    <row r="1011" spans="1:12" x14ac:dyDescent="0.2">
      <c r="B1011" s="2"/>
      <c r="C1011" s="26"/>
      <c r="D1011" s="10"/>
      <c r="E1011" s="27"/>
      <c r="F1011" s="28"/>
      <c r="G1011" s="28"/>
      <c r="H1011" s="29"/>
      <c r="I1011" s="10"/>
      <c r="J1011" s="30"/>
      <c r="K1011" s="28"/>
      <c r="L1011" s="29"/>
    </row>
    <row r="1012" spans="1:12" x14ac:dyDescent="0.2">
      <c r="A1012" s="55">
        <v>5</v>
      </c>
      <c r="B1012" s="2" t="s">
        <v>47</v>
      </c>
      <c r="C1012" s="26">
        <v>36000</v>
      </c>
      <c r="D1012" s="10"/>
      <c r="E1012" s="27">
        <v>1</v>
      </c>
      <c r="F1012" s="28">
        <f>+C1012*E1012</f>
        <v>36000</v>
      </c>
      <c r="G1012" s="28"/>
      <c r="H1012" s="29">
        <f>SUM(F1012+G1012)</f>
        <v>36000</v>
      </c>
      <c r="I1012" s="10"/>
      <c r="J1012" s="30">
        <f>+H1012</f>
        <v>36000</v>
      </c>
      <c r="K1012" s="28"/>
      <c r="L1012" s="29"/>
    </row>
    <row r="1013" spans="1:12" x14ac:dyDescent="0.2">
      <c r="B1013" s="2"/>
      <c r="C1013" s="26"/>
      <c r="D1013" s="10"/>
      <c r="E1013" s="27"/>
      <c r="F1013" s="28"/>
      <c r="G1013" s="28"/>
      <c r="H1013" s="29"/>
      <c r="I1013" s="10"/>
      <c r="J1013" s="30"/>
      <c r="K1013" s="28"/>
      <c r="L1013" s="29"/>
    </row>
    <row r="1014" spans="1:12" x14ac:dyDescent="0.2">
      <c r="A1014" s="55">
        <v>6</v>
      </c>
      <c r="B1014" s="2" t="s">
        <v>48</v>
      </c>
      <c r="C1014" s="26">
        <v>51000</v>
      </c>
      <c r="D1014" s="10"/>
      <c r="E1014" s="27">
        <v>1</v>
      </c>
      <c r="F1014" s="28">
        <f>+C1014*E1014</f>
        <v>51000</v>
      </c>
      <c r="G1014" s="28"/>
      <c r="H1014" s="29">
        <f>SUM(F1014+G1014)</f>
        <v>51000</v>
      </c>
      <c r="I1014" s="10"/>
      <c r="J1014" s="30">
        <f>+H1014</f>
        <v>51000</v>
      </c>
      <c r="K1014" s="28"/>
      <c r="L1014" s="29"/>
    </row>
    <row r="1015" spans="1:12" x14ac:dyDescent="0.2">
      <c r="B1015" s="2"/>
      <c r="C1015" s="26"/>
      <c r="D1015" s="10"/>
      <c r="E1015" s="27"/>
      <c r="F1015" s="28"/>
      <c r="G1015" s="28"/>
      <c r="H1015" s="29"/>
      <c r="I1015" s="10"/>
      <c r="J1015" s="30"/>
      <c r="K1015" s="28"/>
      <c r="L1015" s="29"/>
    </row>
    <row r="1016" spans="1:12" x14ac:dyDescent="0.2">
      <c r="A1016" s="55">
        <v>7</v>
      </c>
      <c r="B1016" s="2" t="s">
        <v>49</v>
      </c>
      <c r="C1016" s="31">
        <v>0</v>
      </c>
      <c r="D1016" s="10"/>
      <c r="E1016" s="27"/>
      <c r="F1016" s="28"/>
      <c r="G1016" s="32">
        <v>0</v>
      </c>
      <c r="H1016" s="33">
        <v>0</v>
      </c>
      <c r="I1016" s="10"/>
      <c r="J1016" s="34">
        <f>+H1016</f>
        <v>0</v>
      </c>
      <c r="K1016" s="32">
        <v>0</v>
      </c>
      <c r="L1016" s="33">
        <v>0</v>
      </c>
    </row>
    <row r="1017" spans="1:12" x14ac:dyDescent="0.2">
      <c r="B1017" s="2"/>
      <c r="C1017" s="26"/>
      <c r="D1017" s="10"/>
      <c r="E1017" s="27"/>
      <c r="F1017" s="28"/>
      <c r="G1017" s="28"/>
      <c r="H1017" s="29"/>
      <c r="I1017" s="10"/>
      <c r="J1017" s="30"/>
      <c r="K1017" s="28"/>
      <c r="L1017" s="29"/>
    </row>
    <row r="1018" spans="1:12" x14ac:dyDescent="0.2">
      <c r="A1018" s="55">
        <v>8</v>
      </c>
      <c r="B1018" s="2" t="s">
        <v>50</v>
      </c>
      <c r="C1018" s="26">
        <v>13000</v>
      </c>
      <c r="D1018" s="10"/>
      <c r="E1018" s="27"/>
      <c r="F1018" s="28"/>
      <c r="G1018" s="28">
        <f>+C1018</f>
        <v>13000</v>
      </c>
      <c r="H1018" s="29">
        <f>SUM(F1018+G1018)</f>
        <v>13000</v>
      </c>
      <c r="I1018" s="10"/>
      <c r="J1018" s="30">
        <f>+H1018</f>
        <v>13000</v>
      </c>
      <c r="K1018" s="28"/>
      <c r="L1018" s="29"/>
    </row>
    <row r="1019" spans="1:12" x14ac:dyDescent="0.2">
      <c r="B1019" s="2"/>
      <c r="C1019" s="26"/>
      <c r="D1019" s="10"/>
      <c r="E1019" s="27"/>
      <c r="F1019" s="28"/>
      <c r="G1019" s="28"/>
      <c r="H1019" s="29"/>
      <c r="I1019" s="10"/>
      <c r="J1019" s="30"/>
      <c r="K1019" s="28"/>
      <c r="L1019" s="29"/>
    </row>
    <row r="1020" spans="1:12" x14ac:dyDescent="0.2">
      <c r="A1020" s="55">
        <v>9</v>
      </c>
      <c r="B1020" s="2" t="s">
        <v>51</v>
      </c>
      <c r="C1020" s="26">
        <v>30000</v>
      </c>
      <c r="D1020" s="10"/>
      <c r="E1020" s="27"/>
      <c r="F1020" s="28"/>
      <c r="G1020" s="28">
        <f>+C1020</f>
        <v>30000</v>
      </c>
      <c r="H1020" s="29">
        <f>SUM(F1020+G1020)</f>
        <v>30000</v>
      </c>
      <c r="I1020" s="10"/>
      <c r="J1020" s="30">
        <f>+H1020</f>
        <v>30000</v>
      </c>
      <c r="K1020" s="28"/>
      <c r="L1020" s="29"/>
    </row>
    <row r="1021" spans="1:12" x14ac:dyDescent="0.2">
      <c r="B1021" s="2"/>
      <c r="C1021" s="26"/>
      <c r="D1021" s="10"/>
      <c r="E1021" s="27"/>
      <c r="F1021" s="28"/>
      <c r="G1021" s="28"/>
      <c r="H1021" s="29"/>
      <c r="I1021" s="10"/>
      <c r="J1021" s="30"/>
      <c r="K1021" s="28"/>
      <c r="L1021" s="29"/>
    </row>
    <row r="1022" spans="1:12" x14ac:dyDescent="0.2">
      <c r="A1022" s="55">
        <v>10</v>
      </c>
      <c r="B1022" s="2" t="s">
        <v>52</v>
      </c>
      <c r="C1022" s="26">
        <v>40000</v>
      </c>
      <c r="D1022" s="10"/>
      <c r="E1022" s="27"/>
      <c r="F1022" s="28"/>
      <c r="G1022" s="28">
        <f>+C1022</f>
        <v>40000</v>
      </c>
      <c r="H1022" s="29">
        <f>SUM(F1022+G1022)</f>
        <v>40000</v>
      </c>
      <c r="I1022" s="10"/>
      <c r="J1022" s="30">
        <f>+H1022</f>
        <v>40000</v>
      </c>
      <c r="K1022" s="28"/>
      <c r="L1022" s="29"/>
    </row>
    <row r="1023" spans="1:12" x14ac:dyDescent="0.2">
      <c r="B1023" s="2"/>
      <c r="C1023" s="26"/>
      <c r="D1023" s="10"/>
      <c r="E1023" s="27"/>
      <c r="F1023" s="28"/>
      <c r="G1023" s="28"/>
      <c r="H1023" s="29"/>
      <c r="I1023" s="10"/>
      <c r="J1023" s="30"/>
      <c r="K1023" s="28"/>
      <c r="L1023" s="29"/>
    </row>
    <row r="1024" spans="1:12" ht="30" x14ac:dyDescent="0.2">
      <c r="A1024" s="55">
        <v>11</v>
      </c>
      <c r="B1024" s="2" t="s">
        <v>53</v>
      </c>
      <c r="C1024" s="26"/>
      <c r="D1024" s="10"/>
      <c r="E1024" s="27"/>
      <c r="F1024" s="28"/>
      <c r="G1024" s="28">
        <f>ROUND((F1006+F1008+F1010+F1012+F1014+F1026+F1030+F1032+F1034+F1037+F1039+F1041+F1043)*0.15,0)</f>
        <v>205366</v>
      </c>
      <c r="H1024" s="60">
        <f>SUM(F1024+G1024)</f>
        <v>205366</v>
      </c>
      <c r="I1024" s="10"/>
      <c r="J1024" s="30">
        <f>ROUND((SUM(F1006:F1014)*0.15),0)</f>
        <v>39398</v>
      </c>
      <c r="K1024" s="32">
        <f>ROUND(SUM(F1026:F1041)*0.15,0)</f>
        <v>133598</v>
      </c>
      <c r="L1024" s="33">
        <f>ROUND(F1043*0.15,0)</f>
        <v>32370</v>
      </c>
    </row>
    <row r="1025" spans="1:12" x14ac:dyDescent="0.2">
      <c r="B1025" s="2"/>
      <c r="C1025" s="26"/>
      <c r="D1025" s="10"/>
      <c r="E1025" s="27"/>
      <c r="F1025" s="28"/>
      <c r="G1025" s="28"/>
      <c r="H1025" s="29"/>
      <c r="I1025" s="10"/>
      <c r="J1025" s="30"/>
      <c r="K1025" s="32"/>
      <c r="L1025" s="33"/>
    </row>
    <row r="1026" spans="1:12" x14ac:dyDescent="0.2">
      <c r="A1026" s="55">
        <v>12</v>
      </c>
      <c r="B1026" s="2" t="s">
        <v>54</v>
      </c>
      <c r="C1026" s="26"/>
      <c r="D1026" s="10"/>
      <c r="E1026" s="27"/>
      <c r="F1026" s="28">
        <f>(F1006+F1008+F1010+F1012+F1014+F1030+F1032+F1034+F1037+F1039+F1041+F1043)*0.2045</f>
        <v>232446.45874999999</v>
      </c>
      <c r="G1026" s="28"/>
      <c r="H1026" s="29">
        <f>(+H1006+H1008+H1010+H1012+H1014+H1030+H1032+H1034+H1037+H1039+H1041+H1043)*0.2045</f>
        <v>232446.45874999999</v>
      </c>
      <c r="I1026" s="10"/>
      <c r="J1026" s="30">
        <f>ROUND((SUM(F1006:F1014)*0.2045),0)</f>
        <v>53712</v>
      </c>
      <c r="K1026" s="32">
        <f>ROUND((SUM(F1030:F1041)*0.2045),0)</f>
        <v>134603</v>
      </c>
      <c r="L1026" s="33">
        <f>ROUND(F1043*0.2045,0)</f>
        <v>44131</v>
      </c>
    </row>
    <row r="1027" spans="1:12" x14ac:dyDescent="0.2">
      <c r="B1027" s="2"/>
      <c r="C1027" s="26"/>
      <c r="D1027" s="10"/>
      <c r="E1027" s="27"/>
      <c r="F1027" s="28"/>
      <c r="G1027" s="28"/>
      <c r="H1027" s="29"/>
      <c r="I1027" s="10"/>
      <c r="J1027" s="30"/>
      <c r="K1027" s="32"/>
      <c r="L1027" s="33"/>
    </row>
    <row r="1028" spans="1:12" x14ac:dyDescent="0.2">
      <c r="A1028" s="55">
        <v>13</v>
      </c>
      <c r="B1028" s="2" t="s">
        <v>55</v>
      </c>
      <c r="C1028" s="26">
        <v>2000</v>
      </c>
      <c r="D1028" s="10"/>
      <c r="E1028" s="27"/>
      <c r="F1028" s="28"/>
      <c r="G1028" s="28">
        <f>E1051*2000</f>
        <v>42000</v>
      </c>
      <c r="H1028" s="29">
        <f>SUM(F1028:G1028)</f>
        <v>42000</v>
      </c>
      <c r="I1028" s="10"/>
      <c r="J1028" s="30">
        <f>(E1006+E1008+E1010+E1012+E1014)*2000</f>
        <v>10000</v>
      </c>
      <c r="K1028" s="32">
        <f>ROUND(SUM(E1032:E1041)*2000,0)</f>
        <v>24000</v>
      </c>
      <c r="L1028" s="33">
        <f>ROUND(E1043*2000,0)</f>
        <v>8000</v>
      </c>
    </row>
    <row r="1029" spans="1:12" x14ac:dyDescent="0.2">
      <c r="B1029" s="2"/>
      <c r="C1029" s="26"/>
      <c r="D1029" s="10"/>
      <c r="E1029" s="27"/>
      <c r="F1029" s="28"/>
      <c r="G1029" s="28"/>
      <c r="H1029" s="29"/>
      <c r="I1029" s="10"/>
      <c r="J1029" s="30"/>
      <c r="K1029" s="32"/>
      <c r="L1029" s="33"/>
    </row>
    <row r="1030" spans="1:12" ht="30" x14ac:dyDescent="0.2">
      <c r="A1030" s="55">
        <v>14</v>
      </c>
      <c r="B1030" s="2" t="s">
        <v>56</v>
      </c>
      <c r="C1030" s="26"/>
      <c r="D1030" s="10"/>
      <c r="E1030" s="27"/>
      <c r="F1030" s="28">
        <f>(F1037+F1041+F1043+F1032)*0.05</f>
        <v>35607.5</v>
      </c>
      <c r="G1030" s="28"/>
      <c r="H1030" s="29">
        <f>SUM(F1030:G1030)</f>
        <v>35607.5</v>
      </c>
      <c r="I1030" s="10"/>
      <c r="J1030" s="30"/>
      <c r="K1030" s="32">
        <f>ROUND((+F1032+F1037+F1041)*0.05,0)</f>
        <v>24818</v>
      </c>
      <c r="L1030" s="33">
        <f>ROUND(F1043*0.05,0)</f>
        <v>10790</v>
      </c>
    </row>
    <row r="1031" spans="1:12" x14ac:dyDescent="0.2">
      <c r="B1031" s="2"/>
      <c r="C1031" s="26"/>
      <c r="D1031" s="10"/>
      <c r="E1031" s="27"/>
      <c r="F1031" s="28"/>
      <c r="G1031" s="28"/>
      <c r="H1031" s="29"/>
      <c r="I1031" s="10"/>
      <c r="J1031" s="30"/>
      <c r="K1031" s="28"/>
      <c r="L1031" s="29"/>
    </row>
    <row r="1032" spans="1:12" x14ac:dyDescent="0.2">
      <c r="A1032" s="55">
        <v>15</v>
      </c>
      <c r="B1032" s="2" t="s">
        <v>57</v>
      </c>
      <c r="C1032" s="26">
        <f>+F998</f>
        <v>59350</v>
      </c>
      <c r="D1032" s="10"/>
      <c r="E1032" s="27">
        <f>ROUND((E1043+E1041+E1039+E1037+E1034)/6,0)</f>
        <v>2</v>
      </c>
      <c r="F1032" s="28">
        <f>F998*E1032</f>
        <v>118700</v>
      </c>
      <c r="G1032" s="28"/>
      <c r="H1032" s="29">
        <f>SUM(F1032:G1032)</f>
        <v>118700</v>
      </c>
      <c r="I1032" s="10"/>
      <c r="J1032" s="27"/>
      <c r="K1032" s="32">
        <f>ROUND(F1032*((+E$49+E$51+E$53)/(E$49+E$51+E$53+E$55)),0)</f>
        <v>74772</v>
      </c>
      <c r="L1032" s="33">
        <f>ROUND((+F1032*(E$55/(+E$49+E$51+E$53+E$55))),0)</f>
        <v>43928</v>
      </c>
    </row>
    <row r="1033" spans="1:12" x14ac:dyDescent="0.2">
      <c r="B1033" s="2"/>
      <c r="C1033" s="26"/>
      <c r="D1033" s="10"/>
      <c r="E1033" s="27"/>
      <c r="F1033" s="28"/>
      <c r="G1033" s="28"/>
      <c r="H1033" s="29"/>
      <c r="I1033" s="10"/>
      <c r="J1033" s="30"/>
      <c r="K1033" s="28"/>
      <c r="L1033" s="29"/>
    </row>
    <row r="1034" spans="1:12" x14ac:dyDescent="0.2">
      <c r="A1034" s="55">
        <v>16</v>
      </c>
      <c r="B1034" s="2" t="s">
        <v>58</v>
      </c>
      <c r="C1034" s="26">
        <f>+F999</f>
        <v>36150</v>
      </c>
      <c r="D1034" s="10"/>
      <c r="E1034" s="27">
        <f>ROUND((E1043+E1041+E1039+E1037)/5,0)</f>
        <v>2</v>
      </c>
      <c r="F1034" s="28">
        <f>F999*E1034</f>
        <v>72300</v>
      </c>
      <c r="G1034" s="28"/>
      <c r="H1034" s="29">
        <f>SUM(F1034:G1034)</f>
        <v>72300</v>
      </c>
      <c r="I1034" s="10"/>
      <c r="J1034" s="30"/>
      <c r="K1034" s="32">
        <f>ROUND(F1034*((+E$49+E$51+E$53)/(E$49+E$51+E$53+E$55)),0)</f>
        <v>45543</v>
      </c>
      <c r="L1034" s="33">
        <f>ROUND((+F1034*(E$55/(+E$49+E$51+E$53+E$55))),0)</f>
        <v>26757</v>
      </c>
    </row>
    <row r="1035" spans="1:12" x14ac:dyDescent="0.2">
      <c r="B1035" s="2"/>
      <c r="C1035" s="26"/>
      <c r="D1035" s="10"/>
      <c r="E1035" s="27"/>
      <c r="F1035" s="28"/>
      <c r="G1035" s="28"/>
      <c r="H1035" s="29"/>
      <c r="I1035" s="10"/>
      <c r="J1035" s="30"/>
      <c r="K1035" s="28"/>
      <c r="L1035" s="29"/>
    </row>
    <row r="1036" spans="1:12" ht="15.75" x14ac:dyDescent="0.25">
      <c r="A1036" s="18" t="s">
        <v>59</v>
      </c>
      <c r="B1036" s="2"/>
      <c r="C1036" s="26"/>
      <c r="D1036" s="10"/>
      <c r="E1036" s="27"/>
      <c r="F1036" s="28"/>
      <c r="G1036" s="28"/>
      <c r="H1036" s="29"/>
      <c r="I1036" s="10"/>
      <c r="J1036" s="30"/>
      <c r="K1036" s="28"/>
      <c r="L1036" s="29"/>
    </row>
    <row r="1037" spans="1:12" x14ac:dyDescent="0.2">
      <c r="A1037" s="36">
        <v>17</v>
      </c>
      <c r="B1037" s="37" t="s">
        <v>60</v>
      </c>
      <c r="C1037" s="38">
        <f>+F997</f>
        <v>53950</v>
      </c>
      <c r="D1037" s="39"/>
      <c r="E1037" s="40">
        <f>ROUND(C993/30,0)</f>
        <v>3</v>
      </c>
      <c r="F1037" s="41">
        <f>F997*E1037</f>
        <v>161850</v>
      </c>
      <c r="G1037" s="41"/>
      <c r="H1037" s="35">
        <f>SUM(F1037:G1037)</f>
        <v>161850</v>
      </c>
      <c r="I1037" s="39"/>
      <c r="J1037" s="42"/>
      <c r="K1037" s="28">
        <f>F997*E1037</f>
        <v>161850</v>
      </c>
      <c r="L1037" s="29"/>
    </row>
    <row r="1038" spans="1:12" x14ac:dyDescent="0.2">
      <c r="A1038" s="37"/>
      <c r="B1038" s="37"/>
      <c r="C1038" s="26"/>
      <c r="D1038" s="10"/>
      <c r="E1038" s="27"/>
      <c r="F1038" s="28"/>
      <c r="G1038" s="28"/>
      <c r="H1038" s="29"/>
      <c r="I1038" s="10"/>
      <c r="J1038" s="30"/>
      <c r="K1038" s="28"/>
      <c r="L1038" s="29"/>
    </row>
    <row r="1039" spans="1:12" ht="30" x14ac:dyDescent="0.2">
      <c r="A1039" s="36">
        <v>18</v>
      </c>
      <c r="B1039" s="37" t="s">
        <v>61</v>
      </c>
      <c r="C1039" s="26">
        <f>+F997</f>
        <v>53950</v>
      </c>
      <c r="D1039" s="10"/>
      <c r="E1039" s="27">
        <v>1</v>
      </c>
      <c r="F1039" s="28">
        <f>F997*E1039</f>
        <v>53950</v>
      </c>
      <c r="G1039" s="28"/>
      <c r="H1039" s="29">
        <f>SUM(F1039:G1039)</f>
        <v>53950</v>
      </c>
      <c r="I1039" s="10"/>
      <c r="J1039" s="30" t="s">
        <v>62</v>
      </c>
      <c r="K1039" s="28">
        <f>ROUND(E1039*F997,0)</f>
        <v>53950</v>
      </c>
      <c r="L1039" s="29"/>
    </row>
    <row r="1040" spans="1:12" x14ac:dyDescent="0.2">
      <c r="A1040" s="37"/>
      <c r="B1040" s="37"/>
      <c r="C1040" s="26"/>
      <c r="D1040" s="10"/>
      <c r="E1040" s="27"/>
      <c r="F1040" s="28"/>
      <c r="G1040" s="28"/>
      <c r="H1040" s="29"/>
      <c r="I1040" s="10"/>
      <c r="J1040" s="30"/>
      <c r="K1040" s="28"/>
      <c r="L1040" s="29"/>
    </row>
    <row r="1041" spans="1:12" x14ac:dyDescent="0.2">
      <c r="A1041" s="37">
        <v>19</v>
      </c>
      <c r="B1041" s="37" t="s">
        <v>63</v>
      </c>
      <c r="C1041" s="26">
        <f>+F997</f>
        <v>53950</v>
      </c>
      <c r="D1041" s="10"/>
      <c r="E1041" s="27">
        <f>ROUND(C993/20,0)</f>
        <v>4</v>
      </c>
      <c r="F1041" s="28">
        <f>F997*E1041</f>
        <v>215800</v>
      </c>
      <c r="G1041" s="28"/>
      <c r="H1041" s="29">
        <f>SUM(F1041:G1041)</f>
        <v>215800</v>
      </c>
      <c r="I1041" s="10"/>
      <c r="J1041" s="30"/>
      <c r="K1041" s="28">
        <f>F997*E1041</f>
        <v>215800</v>
      </c>
      <c r="L1041" s="29"/>
    </row>
    <row r="1042" spans="1:12" x14ac:dyDescent="0.2">
      <c r="A1042" s="37"/>
      <c r="B1042" s="37"/>
      <c r="C1042" s="26"/>
      <c r="D1042" s="10"/>
      <c r="E1042" s="27"/>
      <c r="F1042" s="28"/>
      <c r="G1042" s="28"/>
      <c r="H1042" s="29"/>
      <c r="I1042" s="10"/>
      <c r="J1042" s="30"/>
      <c r="K1042" s="28"/>
      <c r="L1042" s="29"/>
    </row>
    <row r="1043" spans="1:12" x14ac:dyDescent="0.2">
      <c r="A1043" s="37">
        <v>20</v>
      </c>
      <c r="B1043" s="37" t="s">
        <v>64</v>
      </c>
      <c r="C1043" s="26">
        <f>+F997</f>
        <v>53950</v>
      </c>
      <c r="D1043" s="10"/>
      <c r="E1043" s="27">
        <f>ROUND(C994/20,0)</f>
        <v>4</v>
      </c>
      <c r="F1043" s="28">
        <f>F997*E1043</f>
        <v>215800</v>
      </c>
      <c r="G1043" s="28"/>
      <c r="H1043" s="29">
        <f>SUM(F1043:G1043)</f>
        <v>215800</v>
      </c>
      <c r="I1043" s="10"/>
      <c r="J1043" s="30"/>
      <c r="K1043" s="28"/>
      <c r="L1043" s="29">
        <f>F997*E1043</f>
        <v>215800</v>
      </c>
    </row>
    <row r="1044" spans="1:12" x14ac:dyDescent="0.2">
      <c r="A1044" s="37"/>
      <c r="B1044" s="37"/>
      <c r="C1044" s="26"/>
      <c r="D1044" s="10"/>
      <c r="E1044" s="27"/>
      <c r="F1044" s="28"/>
      <c r="G1044" s="28"/>
      <c r="H1044" s="29"/>
      <c r="I1044" s="10"/>
      <c r="J1044" s="30"/>
      <c r="K1044" s="28"/>
      <c r="L1044" s="29"/>
    </row>
    <row r="1045" spans="1:12" x14ac:dyDescent="0.2">
      <c r="A1045" s="37">
        <v>21</v>
      </c>
      <c r="B1045" s="37" t="s">
        <v>65</v>
      </c>
      <c r="C1045" s="31"/>
      <c r="D1045" s="43"/>
      <c r="E1045" s="27"/>
      <c r="F1045" s="28"/>
      <c r="G1045" s="28">
        <f>ROUND(125*C992,0)</f>
        <v>161375</v>
      </c>
      <c r="H1045" s="29">
        <f>SUM(F1045:G1045)</f>
        <v>161375</v>
      </c>
      <c r="I1045" s="10"/>
      <c r="J1045" s="30" t="s">
        <v>62</v>
      </c>
      <c r="K1045" s="29">
        <f>ROUND(125/2*C992,0)</f>
        <v>80688</v>
      </c>
      <c r="L1045" s="29">
        <f>ROUND(125/2*C992,0)</f>
        <v>80688</v>
      </c>
    </row>
    <row r="1046" spans="1:12" x14ac:dyDescent="0.2">
      <c r="A1046" s="37"/>
      <c r="B1046" s="37"/>
      <c r="C1046" s="26"/>
      <c r="D1046" s="10"/>
      <c r="E1046" s="27"/>
      <c r="F1046" s="28"/>
      <c r="G1046" s="28"/>
      <c r="H1046" s="29"/>
      <c r="I1046" s="10"/>
      <c r="J1046" s="30"/>
      <c r="K1046" s="28"/>
      <c r="L1046" s="29"/>
    </row>
    <row r="1047" spans="1:12" x14ac:dyDescent="0.2">
      <c r="A1047" s="37">
        <v>22</v>
      </c>
      <c r="B1047" s="37" t="s">
        <v>66</v>
      </c>
      <c r="C1047" s="26">
        <v>10000</v>
      </c>
      <c r="D1047" s="10"/>
      <c r="E1047" s="27"/>
      <c r="F1047" s="28"/>
      <c r="G1047" s="28">
        <f>((E1006+E1032+E1037+E1039+E1041+E1043)*10000)+10000</f>
        <v>160000</v>
      </c>
      <c r="H1047" s="29">
        <f>SUM(F1047:G1047)</f>
        <v>160000</v>
      </c>
      <c r="I1047" s="10"/>
      <c r="J1047" s="30">
        <f>ROUND(10000*E1006,0)</f>
        <v>10000</v>
      </c>
      <c r="K1047" s="32">
        <f>(ROUND(10000*(+E1041+E1039+E1037+E1032),0))+10000</f>
        <v>110000</v>
      </c>
      <c r="L1047" s="33">
        <f>ROUND(10000*E1043,0)</f>
        <v>40000</v>
      </c>
    </row>
    <row r="1048" spans="1:12" x14ac:dyDescent="0.2">
      <c r="A1048" s="37"/>
      <c r="B1048" s="37"/>
      <c r="C1048" s="26"/>
      <c r="D1048" s="10"/>
      <c r="E1048" s="27"/>
      <c r="F1048" s="28"/>
      <c r="G1048" s="28"/>
      <c r="H1048" s="29"/>
      <c r="I1048" s="10"/>
      <c r="J1048" s="30"/>
      <c r="K1048" s="32"/>
      <c r="L1048" s="33"/>
    </row>
    <row r="1049" spans="1:12" x14ac:dyDescent="0.2">
      <c r="A1049" s="37">
        <v>23</v>
      </c>
      <c r="B1049" s="37" t="s">
        <v>82</v>
      </c>
      <c r="C1049" s="26"/>
      <c r="D1049" s="10"/>
      <c r="E1049" s="27"/>
      <c r="F1049" s="28"/>
      <c r="G1049" s="28">
        <v>50000</v>
      </c>
      <c r="H1049" s="29">
        <f>+G1049</f>
        <v>50000</v>
      </c>
      <c r="I1049" s="10"/>
      <c r="J1049" s="30"/>
      <c r="K1049" s="32"/>
      <c r="L1049" s="33">
        <f>+H1049</f>
        <v>50000</v>
      </c>
    </row>
    <row r="1050" spans="1:12" x14ac:dyDescent="0.2">
      <c r="B1050" s="2"/>
      <c r="C1050" s="26"/>
      <c r="D1050" s="10"/>
      <c r="E1050" s="27"/>
      <c r="F1050" s="28"/>
      <c r="G1050" s="28"/>
      <c r="H1050" s="29"/>
      <c r="I1050" s="10"/>
      <c r="J1050" s="30"/>
      <c r="K1050" s="28"/>
      <c r="L1050" s="29"/>
    </row>
    <row r="1051" spans="1:12" ht="15.75" x14ac:dyDescent="0.25">
      <c r="B1051" s="3" t="s">
        <v>67</v>
      </c>
      <c r="C1051" s="44"/>
      <c r="D1051" s="10"/>
      <c r="E1051" s="45">
        <f>SUM(E1004:E1047)</f>
        <v>21</v>
      </c>
      <c r="F1051" s="46">
        <f>SUM(F1004:F1049)</f>
        <v>1369103.95875</v>
      </c>
      <c r="G1051" s="46">
        <f>SUM(G1004:G1049)</f>
        <v>751741</v>
      </c>
      <c r="H1051" s="47">
        <f>SUM(H1004:H1050)</f>
        <v>2120844.9587500002</v>
      </c>
      <c r="I1051" s="10"/>
      <c r="J1051" s="48">
        <f>SUM(J1004:J1049)</f>
        <v>508760</v>
      </c>
      <c r="K1051" s="46">
        <f>SUM(K1004:K1050)</f>
        <v>1059622</v>
      </c>
      <c r="L1051" s="47">
        <f>SUM(L1004:L1050)</f>
        <v>552464</v>
      </c>
    </row>
    <row r="1052" spans="1:12" x14ac:dyDescent="0.2">
      <c r="B1052" s="49"/>
      <c r="J1052" s="50"/>
      <c r="L1052" s="50"/>
    </row>
    <row r="1053" spans="1:12" x14ac:dyDescent="0.2">
      <c r="B1053" s="49"/>
      <c r="J1053" s="50"/>
      <c r="L1053" s="50"/>
    </row>
    <row r="1054" spans="1:12" x14ac:dyDescent="0.2">
      <c r="A1054" s="37">
        <v>24</v>
      </c>
      <c r="B1054" s="55" t="s">
        <v>68</v>
      </c>
      <c r="C1054" s="8"/>
      <c r="D1054" s="8"/>
      <c r="E1054" s="11"/>
      <c r="L1054" s="10">
        <f>+J1051+K1051+L1051</f>
        <v>2120846</v>
      </c>
    </row>
    <row r="1055" spans="1:12" x14ac:dyDescent="0.2">
      <c r="A1055" s="37">
        <v>25</v>
      </c>
      <c r="B1055" s="55" t="s">
        <v>69</v>
      </c>
      <c r="C1055" s="7"/>
      <c r="D1055" s="7"/>
      <c r="E1055" s="11"/>
      <c r="L1055" s="10">
        <v>1236687</v>
      </c>
    </row>
    <row r="1056" spans="1:12" ht="15.75" x14ac:dyDescent="0.25">
      <c r="A1056" s="37">
        <v>26</v>
      </c>
      <c r="B1056" s="55" t="s">
        <v>182</v>
      </c>
      <c r="C1056" s="7"/>
      <c r="D1056" s="7"/>
      <c r="E1056" s="11"/>
      <c r="J1056" s="10" t="s">
        <v>62</v>
      </c>
      <c r="L1056" s="51">
        <f>+L1054-L1055</f>
        <v>884159</v>
      </c>
    </row>
    <row r="1057" spans="1:12" x14ac:dyDescent="0.2">
      <c r="B1057" s="8"/>
      <c r="C1057" s="7"/>
      <c r="D1057" s="7"/>
      <c r="E1057" s="11"/>
      <c r="J1057" s="10"/>
      <c r="L1057" s="10"/>
    </row>
    <row r="1058" spans="1:12" ht="78.75" x14ac:dyDescent="0.25">
      <c r="B1058" s="8"/>
      <c r="C1058" s="7"/>
      <c r="D1058" s="7"/>
      <c r="E1058" s="11"/>
      <c r="J1058" s="51" t="s">
        <v>71</v>
      </c>
      <c r="K1058" s="52" t="s">
        <v>72</v>
      </c>
      <c r="L1058" s="53" t="s">
        <v>73</v>
      </c>
    </row>
    <row r="1059" spans="1:12" ht="15.75" x14ac:dyDescent="0.25">
      <c r="B1059" s="8" t="s">
        <v>74</v>
      </c>
      <c r="C1059" s="7"/>
      <c r="D1059" s="7"/>
      <c r="E1059" s="11"/>
      <c r="J1059" s="10">
        <f>+J1051+K1051</f>
        <v>1568382</v>
      </c>
      <c r="K1059" s="10">
        <f>+L1055</f>
        <v>1236687</v>
      </c>
      <c r="L1059" s="51">
        <f>+J1059-K1059</f>
        <v>331695</v>
      </c>
    </row>
    <row r="1060" spans="1:12" ht="15.75" x14ac:dyDescent="0.25">
      <c r="B1060" s="54" t="s">
        <v>75</v>
      </c>
      <c r="C1060" s="7"/>
      <c r="D1060" s="7"/>
      <c r="E1060" s="11"/>
      <c r="J1060" s="10">
        <f>+L1051</f>
        <v>552464</v>
      </c>
      <c r="K1060" s="10" t="s">
        <v>62</v>
      </c>
      <c r="L1060" s="51">
        <f>+J1060</f>
        <v>552464</v>
      </c>
    </row>
    <row r="1064" spans="1:12" x14ac:dyDescent="0.2">
      <c r="A1064" s="1" t="s">
        <v>23</v>
      </c>
      <c r="B1064" s="2"/>
    </row>
    <row r="1065" spans="1:12" ht="15.75" x14ac:dyDescent="0.25">
      <c r="A1065" s="56" t="s">
        <v>24</v>
      </c>
      <c r="B1065" s="3"/>
      <c r="C1065" s="56" t="s">
        <v>192</v>
      </c>
    </row>
    <row r="1066" spans="1:12" x14ac:dyDescent="0.2">
      <c r="A1066" s="55" t="s">
        <v>26</v>
      </c>
      <c r="B1066" s="2"/>
    </row>
    <row r="1067" spans="1:12" x14ac:dyDescent="0.2">
      <c r="B1067" s="2"/>
      <c r="C1067" s="4"/>
      <c r="D1067" s="4"/>
    </row>
    <row r="1068" spans="1:12" x14ac:dyDescent="0.2">
      <c r="B1068" s="2"/>
      <c r="C1068" s="5"/>
      <c r="D1068" s="5"/>
    </row>
    <row r="1069" spans="1:12" ht="15.75" x14ac:dyDescent="0.25">
      <c r="A1069" s="55" t="s">
        <v>27</v>
      </c>
      <c r="B1069" s="2"/>
      <c r="C1069" s="6">
        <v>1193</v>
      </c>
      <c r="D1069" s="4"/>
      <c r="E1069" s="7"/>
    </row>
    <row r="1070" spans="1:12" ht="15.75" x14ac:dyDescent="0.25">
      <c r="A1070" s="55" t="s">
        <v>28</v>
      </c>
      <c r="B1070" s="2"/>
      <c r="C1070" s="6">
        <f>C1069*0.06</f>
        <v>71.58</v>
      </c>
      <c r="D1070" s="4"/>
      <c r="E1070" s="7"/>
    </row>
    <row r="1071" spans="1:12" ht="15.75" x14ac:dyDescent="0.25">
      <c r="A1071" s="55" t="s">
        <v>29</v>
      </c>
      <c r="B1071" s="2"/>
      <c r="C1071" s="6">
        <f>C1069/3*0.2</f>
        <v>79.533333333333346</v>
      </c>
      <c r="D1071" s="6"/>
      <c r="E1071" s="7"/>
    </row>
    <row r="1072" spans="1:12" ht="15.75" x14ac:dyDescent="0.25">
      <c r="B1072" s="2" t="s">
        <v>30</v>
      </c>
      <c r="C1072" s="6"/>
      <c r="D1072" s="4"/>
      <c r="E1072" s="7"/>
    </row>
    <row r="1073" spans="1:12" x14ac:dyDescent="0.2">
      <c r="B1073" s="2"/>
    </row>
    <row r="1074" spans="1:12" x14ac:dyDescent="0.2">
      <c r="A1074" s="7" t="s">
        <v>31</v>
      </c>
      <c r="B1074" s="8"/>
      <c r="D1074" s="9"/>
      <c r="F1074" s="9">
        <v>53950</v>
      </c>
      <c r="H1074" s="10"/>
      <c r="I1074" s="10"/>
    </row>
    <row r="1075" spans="1:12" x14ac:dyDescent="0.2">
      <c r="A1075" s="7" t="s">
        <v>32</v>
      </c>
      <c r="B1075" s="8"/>
      <c r="D1075" s="9"/>
      <c r="F1075" s="9">
        <v>59350</v>
      </c>
      <c r="H1075" s="10"/>
      <c r="I1075" s="10"/>
    </row>
    <row r="1076" spans="1:12" x14ac:dyDescent="0.2">
      <c r="A1076" s="7" t="s">
        <v>33</v>
      </c>
      <c r="B1076" s="8"/>
      <c r="D1076" s="9"/>
      <c r="F1076" s="9">
        <v>36150</v>
      </c>
      <c r="H1076" s="10"/>
      <c r="I1076" s="10"/>
    </row>
    <row r="1077" spans="1:12" x14ac:dyDescent="0.2">
      <c r="A1077" s="7"/>
      <c r="B1077" s="8"/>
      <c r="C1077" s="11"/>
      <c r="D1077" s="11"/>
      <c r="H1077" s="10"/>
      <c r="I1077" s="10"/>
    </row>
    <row r="1078" spans="1:12" ht="15.75" x14ac:dyDescent="0.25">
      <c r="B1078" s="2"/>
      <c r="J1078" s="12" t="s">
        <v>34</v>
      </c>
      <c r="K1078" s="412" t="s">
        <v>35</v>
      </c>
      <c r="L1078" s="413"/>
    </row>
    <row r="1079" spans="1:12" ht="31.5" x14ac:dyDescent="0.25">
      <c r="A1079" s="56" t="s">
        <v>36</v>
      </c>
      <c r="B1079" s="13"/>
      <c r="C1079" s="14" t="s">
        <v>37</v>
      </c>
      <c r="D1079" s="15"/>
      <c r="E1079" s="12" t="s">
        <v>38</v>
      </c>
      <c r="F1079" s="12" t="s">
        <v>39</v>
      </c>
      <c r="G1079" s="12" t="s">
        <v>40</v>
      </c>
      <c r="H1079" s="12" t="s">
        <v>0</v>
      </c>
      <c r="I1079" s="16"/>
      <c r="J1079" s="14" t="s">
        <v>41</v>
      </c>
      <c r="K1079" s="17" t="s">
        <v>42</v>
      </c>
      <c r="L1079" s="12" t="s">
        <v>43</v>
      </c>
    </row>
    <row r="1080" spans="1:12" ht="15.75" x14ac:dyDescent="0.25">
      <c r="A1080" s="18"/>
      <c r="B1080" s="13"/>
      <c r="C1080" s="19"/>
      <c r="D1080" s="15"/>
      <c r="E1080" s="20"/>
      <c r="F1080" s="21"/>
      <c r="G1080" s="21"/>
      <c r="H1080" s="22"/>
      <c r="I1080" s="16"/>
      <c r="J1080" s="23"/>
      <c r="K1080" s="24"/>
      <c r="L1080" s="25"/>
    </row>
    <row r="1081" spans="1:12" x14ac:dyDescent="0.2">
      <c r="A1081" s="55">
        <v>1</v>
      </c>
      <c r="B1081" s="2" t="s">
        <v>44</v>
      </c>
      <c r="C1081" s="26">
        <v>50000</v>
      </c>
      <c r="D1081" s="10"/>
      <c r="E1081" s="27"/>
      <c r="F1081" s="28"/>
      <c r="G1081" s="28">
        <f>+C1081</f>
        <v>50000</v>
      </c>
      <c r="H1081" s="29">
        <f>SUM(F1081+G1081)</f>
        <v>50000</v>
      </c>
      <c r="I1081" s="10"/>
      <c r="J1081" s="30">
        <f>+H1081</f>
        <v>50000</v>
      </c>
      <c r="K1081" s="28"/>
      <c r="L1081" s="29"/>
    </row>
    <row r="1082" spans="1:12" x14ac:dyDescent="0.2">
      <c r="B1082" s="2"/>
      <c r="C1082" s="26"/>
      <c r="D1082" s="10"/>
      <c r="E1082" s="27"/>
      <c r="F1082" s="28"/>
      <c r="G1082" s="28"/>
      <c r="H1082" s="29"/>
      <c r="I1082" s="10"/>
      <c r="J1082" s="30"/>
      <c r="K1082" s="28"/>
      <c r="L1082" s="29"/>
    </row>
    <row r="1083" spans="1:12" x14ac:dyDescent="0.2">
      <c r="A1083" s="55">
        <v>2</v>
      </c>
      <c r="B1083" s="2" t="s">
        <v>45</v>
      </c>
      <c r="C1083" s="26">
        <v>77000</v>
      </c>
      <c r="D1083" s="10"/>
      <c r="E1083" s="27">
        <v>1</v>
      </c>
      <c r="F1083" s="28">
        <f>+C1083*E1083</f>
        <v>77000</v>
      </c>
      <c r="G1083" s="28"/>
      <c r="H1083" s="29">
        <f>SUM(F1083+G1083)</f>
        <v>77000</v>
      </c>
      <c r="I1083" s="10"/>
      <c r="J1083" s="30">
        <f>+H1083</f>
        <v>77000</v>
      </c>
      <c r="K1083" s="28"/>
      <c r="L1083" s="29"/>
    </row>
    <row r="1084" spans="1:12" x14ac:dyDescent="0.2">
      <c r="B1084" s="2"/>
      <c r="C1084" s="26"/>
      <c r="D1084" s="10"/>
      <c r="E1084" s="27"/>
      <c r="F1084" s="28"/>
      <c r="G1084" s="28"/>
      <c r="H1084" s="29"/>
      <c r="I1084" s="10"/>
      <c r="J1084" s="30"/>
      <c r="K1084" s="28"/>
      <c r="L1084" s="29"/>
    </row>
    <row r="1085" spans="1:12" ht="30" x14ac:dyDescent="0.2">
      <c r="A1085" s="55">
        <v>3</v>
      </c>
      <c r="B1085" s="2" t="s">
        <v>81</v>
      </c>
      <c r="C1085" s="26">
        <f>+F1075</f>
        <v>59350</v>
      </c>
      <c r="D1085" s="10"/>
      <c r="E1085" s="27">
        <v>1</v>
      </c>
      <c r="F1085" s="28">
        <f>+C1085*E1085</f>
        <v>59350</v>
      </c>
      <c r="G1085" s="28"/>
      <c r="H1085" s="29">
        <f>SUM(F1085+G1085)</f>
        <v>59350</v>
      </c>
      <c r="I1085" s="10"/>
      <c r="J1085" s="30">
        <f>+H1085</f>
        <v>59350</v>
      </c>
      <c r="K1085" s="28"/>
      <c r="L1085" s="29"/>
    </row>
    <row r="1086" spans="1:12" x14ac:dyDescent="0.2">
      <c r="B1086" s="2"/>
      <c r="C1086" s="26"/>
      <c r="D1086" s="10"/>
      <c r="E1086" s="27"/>
      <c r="F1086" s="28"/>
      <c r="G1086" s="28"/>
      <c r="H1086" s="29"/>
      <c r="I1086" s="10"/>
      <c r="J1086" s="30"/>
      <c r="K1086" s="28"/>
      <c r="L1086" s="29"/>
    </row>
    <row r="1087" spans="1:12" x14ac:dyDescent="0.2">
      <c r="A1087" s="55">
        <v>4</v>
      </c>
      <c r="B1087" s="2" t="s">
        <v>46</v>
      </c>
      <c r="C1087" s="26">
        <v>39300</v>
      </c>
      <c r="D1087" s="10"/>
      <c r="E1087" s="27">
        <v>1</v>
      </c>
      <c r="F1087" s="28">
        <f>+C1087*E1087</f>
        <v>39300</v>
      </c>
      <c r="G1087" s="28"/>
      <c r="H1087" s="29">
        <f>SUM(F1087+G1087)</f>
        <v>39300</v>
      </c>
      <c r="I1087" s="10"/>
      <c r="J1087" s="30">
        <f>+H1087</f>
        <v>39300</v>
      </c>
      <c r="K1087" s="28"/>
      <c r="L1087" s="29"/>
    </row>
    <row r="1088" spans="1:12" x14ac:dyDescent="0.2">
      <c r="B1088" s="2"/>
      <c r="C1088" s="26"/>
      <c r="D1088" s="10"/>
      <c r="E1088" s="27"/>
      <c r="F1088" s="28"/>
      <c r="G1088" s="28"/>
      <c r="H1088" s="29"/>
      <c r="I1088" s="10"/>
      <c r="J1088" s="30"/>
      <c r="K1088" s="28"/>
      <c r="L1088" s="29"/>
    </row>
    <row r="1089" spans="1:12" x14ac:dyDescent="0.2">
      <c r="A1089" s="55">
        <v>5</v>
      </c>
      <c r="B1089" s="2" t="s">
        <v>47</v>
      </c>
      <c r="C1089" s="26">
        <v>36000</v>
      </c>
      <c r="D1089" s="10"/>
      <c r="E1089" s="27">
        <v>1</v>
      </c>
      <c r="F1089" s="28">
        <f>+C1089*E1089</f>
        <v>36000</v>
      </c>
      <c r="G1089" s="28"/>
      <c r="H1089" s="29">
        <f>SUM(F1089+G1089)</f>
        <v>36000</v>
      </c>
      <c r="I1089" s="10"/>
      <c r="J1089" s="30">
        <f>+H1089</f>
        <v>36000</v>
      </c>
      <c r="K1089" s="28"/>
      <c r="L1089" s="29"/>
    </row>
    <row r="1090" spans="1:12" x14ac:dyDescent="0.2">
      <c r="B1090" s="2"/>
      <c r="C1090" s="26"/>
      <c r="D1090" s="10"/>
      <c r="E1090" s="27"/>
      <c r="F1090" s="28"/>
      <c r="G1090" s="28"/>
      <c r="H1090" s="29"/>
      <c r="I1090" s="10"/>
      <c r="J1090" s="30"/>
      <c r="K1090" s="28"/>
      <c r="L1090" s="29"/>
    </row>
    <row r="1091" spans="1:12" x14ac:dyDescent="0.2">
      <c r="A1091" s="55">
        <v>6</v>
      </c>
      <c r="B1091" s="2" t="s">
        <v>48</v>
      </c>
      <c r="C1091" s="26">
        <v>51000</v>
      </c>
      <c r="D1091" s="10"/>
      <c r="E1091" s="27">
        <v>1</v>
      </c>
      <c r="F1091" s="28">
        <f>+C1091*E1091</f>
        <v>51000</v>
      </c>
      <c r="G1091" s="28"/>
      <c r="H1091" s="29">
        <f>SUM(F1091+G1091)</f>
        <v>51000</v>
      </c>
      <c r="I1091" s="10"/>
      <c r="J1091" s="30">
        <f>+H1091</f>
        <v>51000</v>
      </c>
      <c r="K1091" s="28"/>
      <c r="L1091" s="29"/>
    </row>
    <row r="1092" spans="1:12" x14ac:dyDescent="0.2">
      <c r="B1092" s="2"/>
      <c r="C1092" s="26"/>
      <c r="D1092" s="10"/>
      <c r="E1092" s="27"/>
      <c r="F1092" s="28"/>
      <c r="G1092" s="28"/>
      <c r="H1092" s="29"/>
      <c r="I1092" s="10"/>
      <c r="J1092" s="30"/>
      <c r="K1092" s="28"/>
      <c r="L1092" s="29"/>
    </row>
    <row r="1093" spans="1:12" x14ac:dyDescent="0.2">
      <c r="A1093" s="55">
        <v>7</v>
      </c>
      <c r="B1093" s="2" t="s">
        <v>49</v>
      </c>
      <c r="C1093" s="31">
        <v>0</v>
      </c>
      <c r="D1093" s="10"/>
      <c r="E1093" s="27"/>
      <c r="F1093" s="28"/>
      <c r="G1093" s="32">
        <v>0</v>
      </c>
      <c r="H1093" s="33">
        <v>0</v>
      </c>
      <c r="I1093" s="10"/>
      <c r="J1093" s="34">
        <f>+H1093</f>
        <v>0</v>
      </c>
      <c r="K1093" s="32">
        <v>0</v>
      </c>
      <c r="L1093" s="33">
        <v>0</v>
      </c>
    </row>
    <row r="1094" spans="1:12" x14ac:dyDescent="0.2">
      <c r="B1094" s="2"/>
      <c r="C1094" s="26"/>
      <c r="D1094" s="10"/>
      <c r="E1094" s="27"/>
      <c r="F1094" s="28"/>
      <c r="G1094" s="28"/>
      <c r="H1094" s="29"/>
      <c r="I1094" s="10"/>
      <c r="J1094" s="30"/>
      <c r="K1094" s="28"/>
      <c r="L1094" s="29"/>
    </row>
    <row r="1095" spans="1:12" x14ac:dyDescent="0.2">
      <c r="A1095" s="55">
        <v>8</v>
      </c>
      <c r="B1095" s="2" t="s">
        <v>50</v>
      </c>
      <c r="C1095" s="26">
        <v>13000</v>
      </c>
      <c r="D1095" s="10"/>
      <c r="E1095" s="27"/>
      <c r="F1095" s="28"/>
      <c r="G1095" s="28">
        <f>+C1095</f>
        <v>13000</v>
      </c>
      <c r="H1095" s="29">
        <f>SUM(F1095+G1095)</f>
        <v>13000</v>
      </c>
      <c r="I1095" s="10"/>
      <c r="J1095" s="30">
        <f>+H1095</f>
        <v>13000</v>
      </c>
      <c r="K1095" s="28"/>
      <c r="L1095" s="29"/>
    </row>
    <row r="1096" spans="1:12" x14ac:dyDescent="0.2">
      <c r="B1096" s="2"/>
      <c r="C1096" s="26"/>
      <c r="D1096" s="10"/>
      <c r="E1096" s="27"/>
      <c r="F1096" s="28"/>
      <c r="G1096" s="28"/>
      <c r="H1096" s="29"/>
      <c r="I1096" s="10"/>
      <c r="J1096" s="30"/>
      <c r="K1096" s="28"/>
      <c r="L1096" s="29"/>
    </row>
    <row r="1097" spans="1:12" x14ac:dyDescent="0.2">
      <c r="A1097" s="55">
        <v>9</v>
      </c>
      <c r="B1097" s="2" t="s">
        <v>51</v>
      </c>
      <c r="C1097" s="26">
        <v>30000</v>
      </c>
      <c r="D1097" s="10"/>
      <c r="E1097" s="27"/>
      <c r="F1097" s="28"/>
      <c r="G1097" s="28">
        <f>+C1097</f>
        <v>30000</v>
      </c>
      <c r="H1097" s="29">
        <f>SUM(F1097+G1097)</f>
        <v>30000</v>
      </c>
      <c r="I1097" s="10"/>
      <c r="J1097" s="30">
        <f>+H1097</f>
        <v>30000</v>
      </c>
      <c r="K1097" s="28"/>
      <c r="L1097" s="29"/>
    </row>
    <row r="1098" spans="1:12" x14ac:dyDescent="0.2">
      <c r="B1098" s="2"/>
      <c r="C1098" s="26"/>
      <c r="D1098" s="10"/>
      <c r="E1098" s="27"/>
      <c r="F1098" s="28"/>
      <c r="G1098" s="28"/>
      <c r="H1098" s="29"/>
      <c r="I1098" s="10"/>
      <c r="J1098" s="30"/>
      <c r="K1098" s="28"/>
      <c r="L1098" s="29"/>
    </row>
    <row r="1099" spans="1:12" x14ac:dyDescent="0.2">
      <c r="A1099" s="55">
        <v>10</v>
      </c>
      <c r="B1099" s="2" t="s">
        <v>52</v>
      </c>
      <c r="C1099" s="26">
        <v>40000</v>
      </c>
      <c r="D1099" s="10"/>
      <c r="E1099" s="27"/>
      <c r="F1099" s="28"/>
      <c r="G1099" s="28">
        <f>+C1099</f>
        <v>40000</v>
      </c>
      <c r="H1099" s="29">
        <f>SUM(F1099+G1099)</f>
        <v>40000</v>
      </c>
      <c r="I1099" s="10"/>
      <c r="J1099" s="30">
        <f>+H1099</f>
        <v>40000</v>
      </c>
      <c r="K1099" s="28"/>
      <c r="L1099" s="29"/>
    </row>
    <row r="1100" spans="1:12" x14ac:dyDescent="0.2">
      <c r="B1100" s="2"/>
      <c r="C1100" s="26"/>
      <c r="D1100" s="10"/>
      <c r="E1100" s="27"/>
      <c r="F1100" s="28"/>
      <c r="G1100" s="28"/>
      <c r="H1100" s="29"/>
      <c r="I1100" s="10"/>
      <c r="J1100" s="30"/>
      <c r="K1100" s="28"/>
      <c r="L1100" s="29"/>
    </row>
    <row r="1101" spans="1:12" ht="30" x14ac:dyDescent="0.2">
      <c r="A1101" s="55">
        <v>11</v>
      </c>
      <c r="B1101" s="2" t="s">
        <v>53</v>
      </c>
      <c r="C1101" s="26"/>
      <c r="D1101" s="10"/>
      <c r="E1101" s="27"/>
      <c r="F1101" s="28"/>
      <c r="G1101" s="28">
        <f>ROUND((F1083+F1085+F1087+F1089+F1091+F1103+F1107+F1109+F1111+F1114+F1116+F1118+F1120)*0.15,0)</f>
        <v>195131</v>
      </c>
      <c r="H1101" s="60">
        <f>SUM(F1101+G1101)</f>
        <v>195131</v>
      </c>
      <c r="I1101" s="10"/>
      <c r="J1101" s="30">
        <f>ROUND((SUM(F1083:F1091)*0.15),0)</f>
        <v>39398</v>
      </c>
      <c r="K1101" s="32">
        <f>ROUND(SUM(F1103:F1118)*0.15,0)</f>
        <v>123363</v>
      </c>
      <c r="L1101" s="33">
        <f>ROUND(F1120*0.15,0)</f>
        <v>32370</v>
      </c>
    </row>
    <row r="1102" spans="1:12" x14ac:dyDescent="0.2">
      <c r="B1102" s="2"/>
      <c r="C1102" s="26"/>
      <c r="D1102" s="10"/>
      <c r="E1102" s="27"/>
      <c r="F1102" s="28"/>
      <c r="G1102" s="28"/>
      <c r="H1102" s="29"/>
      <c r="I1102" s="10"/>
      <c r="J1102" s="30"/>
      <c r="K1102" s="32"/>
      <c r="L1102" s="33"/>
    </row>
    <row r="1103" spans="1:12" x14ac:dyDescent="0.2">
      <c r="A1103" s="55">
        <v>12</v>
      </c>
      <c r="B1103" s="2" t="s">
        <v>54</v>
      </c>
      <c r="C1103" s="26"/>
      <c r="D1103" s="10"/>
      <c r="E1103" s="27"/>
      <c r="F1103" s="28">
        <f>(F1083+F1085+F1087+F1089+F1091+F1107+F1109+F1111+F1114+F1116+F1118+F1120)*0.2045</f>
        <v>220862.04499999998</v>
      </c>
      <c r="G1103" s="28"/>
      <c r="H1103" s="29">
        <f>(+H1083+H1085+H1087+H1089+H1091+H1107+H1109+H1111+H1114+H1116+H1118+H1120)*0.2045</f>
        <v>220862.04499999998</v>
      </c>
      <c r="I1103" s="10"/>
      <c r="J1103" s="30">
        <f>ROUND((SUM(F1083:F1091)*0.2045),0)</f>
        <v>53712</v>
      </c>
      <c r="K1103" s="32">
        <f>ROUND((SUM(F1107:F1118)*0.2045),0)</f>
        <v>123019</v>
      </c>
      <c r="L1103" s="33">
        <f>ROUND(F1120*0.2045,0)</f>
        <v>44131</v>
      </c>
    </row>
    <row r="1104" spans="1:12" x14ac:dyDescent="0.2">
      <c r="B1104" s="2"/>
      <c r="C1104" s="26"/>
      <c r="D1104" s="10"/>
      <c r="E1104" s="27"/>
      <c r="F1104" s="28"/>
      <c r="G1104" s="28"/>
      <c r="H1104" s="29"/>
      <c r="I1104" s="10"/>
      <c r="J1104" s="30"/>
      <c r="K1104" s="32"/>
      <c r="L1104" s="33"/>
    </row>
    <row r="1105" spans="1:12" x14ac:dyDescent="0.2">
      <c r="A1105" s="55">
        <v>13</v>
      </c>
      <c r="B1105" s="2" t="s">
        <v>55</v>
      </c>
      <c r="C1105" s="26">
        <v>2000</v>
      </c>
      <c r="D1105" s="10"/>
      <c r="E1105" s="27"/>
      <c r="F1105" s="28"/>
      <c r="G1105" s="28">
        <f>E1128*2000</f>
        <v>40000</v>
      </c>
      <c r="H1105" s="29">
        <f>SUM(F1105:G1105)</f>
        <v>40000</v>
      </c>
      <c r="I1105" s="10"/>
      <c r="J1105" s="30">
        <f>(E1083+E1085+E1087+E1089+E1091)*2000</f>
        <v>10000</v>
      </c>
      <c r="K1105" s="32">
        <f>ROUND(SUM(E1109:E1118)*2000,0)</f>
        <v>22000</v>
      </c>
      <c r="L1105" s="33">
        <f>ROUND(E1120*2000,0)</f>
        <v>8000</v>
      </c>
    </row>
    <row r="1106" spans="1:12" x14ac:dyDescent="0.2">
      <c r="B1106" s="2"/>
      <c r="C1106" s="26"/>
      <c r="D1106" s="10"/>
      <c r="E1106" s="27"/>
      <c r="F1106" s="28"/>
      <c r="G1106" s="28"/>
      <c r="H1106" s="29"/>
      <c r="I1106" s="10"/>
      <c r="J1106" s="30"/>
      <c r="K1106" s="32"/>
      <c r="L1106" s="33"/>
    </row>
    <row r="1107" spans="1:12" ht="30" x14ac:dyDescent="0.2">
      <c r="A1107" s="55">
        <v>14</v>
      </c>
      <c r="B1107" s="2" t="s">
        <v>56</v>
      </c>
      <c r="C1107" s="26"/>
      <c r="D1107" s="10"/>
      <c r="E1107" s="27"/>
      <c r="F1107" s="28">
        <f>(F1114+F1118+F1120+F1109)*0.05</f>
        <v>32910</v>
      </c>
      <c r="G1107" s="28"/>
      <c r="H1107" s="29">
        <f>SUM(F1107:G1107)</f>
        <v>32910</v>
      </c>
      <c r="I1107" s="10"/>
      <c r="J1107" s="30"/>
      <c r="K1107" s="32">
        <f>ROUND((+F1109+F1114+F1118)*0.05,0)</f>
        <v>22120</v>
      </c>
      <c r="L1107" s="33">
        <f>ROUND(F1120*0.05,0)</f>
        <v>10790</v>
      </c>
    </row>
    <row r="1108" spans="1:12" x14ac:dyDescent="0.2">
      <c r="B1108" s="2"/>
      <c r="C1108" s="26"/>
      <c r="D1108" s="10"/>
      <c r="E1108" s="27"/>
      <c r="F1108" s="28"/>
      <c r="G1108" s="28"/>
      <c r="H1108" s="29"/>
      <c r="I1108" s="10"/>
      <c r="J1108" s="30"/>
      <c r="K1108" s="28"/>
      <c r="L1108" s="29"/>
    </row>
    <row r="1109" spans="1:12" x14ac:dyDescent="0.2">
      <c r="A1109" s="55">
        <v>15</v>
      </c>
      <c r="B1109" s="2" t="s">
        <v>57</v>
      </c>
      <c r="C1109" s="26">
        <f>+F1075</f>
        <v>59350</v>
      </c>
      <c r="D1109" s="10"/>
      <c r="E1109" s="27">
        <f>ROUND((E1120+E1118+E1116+E1114+E1111)/6,0)</f>
        <v>2</v>
      </c>
      <c r="F1109" s="28">
        <f>F1075*E1109</f>
        <v>118700</v>
      </c>
      <c r="G1109" s="28"/>
      <c r="H1109" s="29">
        <f>SUM(F1109:G1109)</f>
        <v>118700</v>
      </c>
      <c r="I1109" s="10"/>
      <c r="J1109" s="27"/>
      <c r="K1109" s="32">
        <f>ROUND(F1109*((+E$49+E$51+E$53)/(E$49+E$51+E$53+E$55)),0)</f>
        <v>74772</v>
      </c>
      <c r="L1109" s="33">
        <f>ROUND((+F1109*(E$55/(+E$49+E$51+E$53+E$55))),0)</f>
        <v>43928</v>
      </c>
    </row>
    <row r="1110" spans="1:12" x14ac:dyDescent="0.2">
      <c r="B1110" s="2"/>
      <c r="C1110" s="26"/>
      <c r="D1110" s="10"/>
      <c r="E1110" s="27"/>
      <c r="F1110" s="28"/>
      <c r="G1110" s="28"/>
      <c r="H1110" s="29"/>
      <c r="I1110" s="10"/>
      <c r="J1110" s="30"/>
      <c r="K1110" s="28"/>
      <c r="L1110" s="29"/>
    </row>
    <row r="1111" spans="1:12" x14ac:dyDescent="0.2">
      <c r="A1111" s="55">
        <v>16</v>
      </c>
      <c r="B1111" s="2" t="s">
        <v>58</v>
      </c>
      <c r="C1111" s="26">
        <f>+F1076</f>
        <v>36150</v>
      </c>
      <c r="D1111" s="10"/>
      <c r="E1111" s="27">
        <f>ROUND((E1120+E1118+E1116+E1114)/5,0)</f>
        <v>2</v>
      </c>
      <c r="F1111" s="28">
        <f>F1076*E1111</f>
        <v>72300</v>
      </c>
      <c r="G1111" s="28"/>
      <c r="H1111" s="29">
        <f>SUM(F1111:G1111)</f>
        <v>72300</v>
      </c>
      <c r="I1111" s="10"/>
      <c r="J1111" s="30"/>
      <c r="K1111" s="32">
        <f>ROUND(F1111*((+E$49+E$51+E$53)/(E$49+E$51+E$53+E$55)),0)</f>
        <v>45543</v>
      </c>
      <c r="L1111" s="33">
        <f>ROUND((+F1111*(E$55/(+E$49+E$51+E$53+E$55))),0)</f>
        <v>26757</v>
      </c>
    </row>
    <row r="1112" spans="1:12" x14ac:dyDescent="0.2">
      <c r="B1112" s="2"/>
      <c r="C1112" s="26"/>
      <c r="D1112" s="10"/>
      <c r="E1112" s="27"/>
      <c r="F1112" s="28"/>
      <c r="G1112" s="28"/>
      <c r="H1112" s="29"/>
      <c r="I1112" s="10"/>
      <c r="J1112" s="30"/>
      <c r="K1112" s="28"/>
      <c r="L1112" s="29"/>
    </row>
    <row r="1113" spans="1:12" ht="15.75" x14ac:dyDescent="0.25">
      <c r="A1113" s="18" t="s">
        <v>59</v>
      </c>
      <c r="B1113" s="2"/>
      <c r="C1113" s="26"/>
      <c r="D1113" s="10"/>
      <c r="E1113" s="27"/>
      <c r="F1113" s="28"/>
      <c r="G1113" s="28"/>
      <c r="H1113" s="29"/>
      <c r="I1113" s="10"/>
      <c r="J1113" s="30"/>
      <c r="K1113" s="28"/>
      <c r="L1113" s="29"/>
    </row>
    <row r="1114" spans="1:12" x14ac:dyDescent="0.2">
      <c r="A1114" s="36">
        <v>17</v>
      </c>
      <c r="B1114" s="37" t="s">
        <v>60</v>
      </c>
      <c r="C1114" s="38">
        <f>+F1074</f>
        <v>53950</v>
      </c>
      <c r="D1114" s="39"/>
      <c r="E1114" s="40">
        <f>ROUND(C1070/30,0)</f>
        <v>2</v>
      </c>
      <c r="F1114" s="41">
        <f>F1074*E1114</f>
        <v>107900</v>
      </c>
      <c r="G1114" s="41"/>
      <c r="H1114" s="35">
        <f>SUM(F1114:G1114)</f>
        <v>107900</v>
      </c>
      <c r="I1114" s="39"/>
      <c r="J1114" s="42"/>
      <c r="K1114" s="28">
        <f>F1074*E1114</f>
        <v>107900</v>
      </c>
      <c r="L1114" s="29"/>
    </row>
    <row r="1115" spans="1:12" x14ac:dyDescent="0.2">
      <c r="A1115" s="37"/>
      <c r="B1115" s="37"/>
      <c r="C1115" s="26"/>
      <c r="D1115" s="10"/>
      <c r="E1115" s="27"/>
      <c r="F1115" s="28"/>
      <c r="G1115" s="28"/>
      <c r="H1115" s="29"/>
      <c r="I1115" s="10"/>
      <c r="J1115" s="30"/>
      <c r="K1115" s="28"/>
      <c r="L1115" s="29"/>
    </row>
    <row r="1116" spans="1:12" ht="30" x14ac:dyDescent="0.2">
      <c r="A1116" s="36">
        <v>18</v>
      </c>
      <c r="B1116" s="37" t="s">
        <v>61</v>
      </c>
      <c r="C1116" s="26">
        <f>+F1074</f>
        <v>53950</v>
      </c>
      <c r="D1116" s="10"/>
      <c r="E1116" s="27">
        <v>1</v>
      </c>
      <c r="F1116" s="28">
        <f>F1074*E1116</f>
        <v>53950</v>
      </c>
      <c r="G1116" s="28"/>
      <c r="H1116" s="29">
        <f>SUM(F1116:G1116)</f>
        <v>53950</v>
      </c>
      <c r="I1116" s="10"/>
      <c r="J1116" s="30" t="s">
        <v>62</v>
      </c>
      <c r="K1116" s="28">
        <f>ROUND(E1116*F1074,0)</f>
        <v>53950</v>
      </c>
      <c r="L1116" s="29"/>
    </row>
    <row r="1117" spans="1:12" x14ac:dyDescent="0.2">
      <c r="A1117" s="37"/>
      <c r="B1117" s="37"/>
      <c r="C1117" s="26"/>
      <c r="D1117" s="10"/>
      <c r="E1117" s="27"/>
      <c r="F1117" s="28"/>
      <c r="G1117" s="28"/>
      <c r="H1117" s="29"/>
      <c r="I1117" s="10"/>
      <c r="J1117" s="30"/>
      <c r="K1117" s="28"/>
      <c r="L1117" s="29"/>
    </row>
    <row r="1118" spans="1:12" x14ac:dyDescent="0.2">
      <c r="A1118" s="37">
        <v>19</v>
      </c>
      <c r="B1118" s="37" t="s">
        <v>63</v>
      </c>
      <c r="C1118" s="26">
        <f>+F1074</f>
        <v>53950</v>
      </c>
      <c r="D1118" s="10"/>
      <c r="E1118" s="27">
        <f>ROUND(C1070/20,0)</f>
        <v>4</v>
      </c>
      <c r="F1118" s="28">
        <f>F1074*E1118</f>
        <v>215800</v>
      </c>
      <c r="G1118" s="28"/>
      <c r="H1118" s="29">
        <f>SUM(F1118:G1118)</f>
        <v>215800</v>
      </c>
      <c r="I1118" s="10"/>
      <c r="J1118" s="30"/>
      <c r="K1118" s="28">
        <f>F1074*E1118</f>
        <v>215800</v>
      </c>
      <c r="L1118" s="29"/>
    </row>
    <row r="1119" spans="1:12" x14ac:dyDescent="0.2">
      <c r="A1119" s="37"/>
      <c r="B1119" s="37"/>
      <c r="C1119" s="26"/>
      <c r="D1119" s="10"/>
      <c r="E1119" s="27"/>
      <c r="F1119" s="28"/>
      <c r="G1119" s="28"/>
      <c r="H1119" s="29"/>
      <c r="I1119" s="10"/>
      <c r="J1119" s="30"/>
      <c r="K1119" s="28"/>
      <c r="L1119" s="29"/>
    </row>
    <row r="1120" spans="1:12" x14ac:dyDescent="0.2">
      <c r="A1120" s="37">
        <v>20</v>
      </c>
      <c r="B1120" s="37" t="s">
        <v>64</v>
      </c>
      <c r="C1120" s="26">
        <f>+F1074</f>
        <v>53950</v>
      </c>
      <c r="D1120" s="10"/>
      <c r="E1120" s="27">
        <f>ROUND(C1071/20,0)</f>
        <v>4</v>
      </c>
      <c r="F1120" s="28">
        <f>F1074*E1120</f>
        <v>215800</v>
      </c>
      <c r="G1120" s="28"/>
      <c r="H1120" s="29">
        <f>SUM(F1120:G1120)</f>
        <v>215800</v>
      </c>
      <c r="I1120" s="10"/>
      <c r="J1120" s="30"/>
      <c r="K1120" s="28"/>
      <c r="L1120" s="29">
        <f>F1074*E1120</f>
        <v>215800</v>
      </c>
    </row>
    <row r="1121" spans="1:12" x14ac:dyDescent="0.2">
      <c r="A1121" s="37"/>
      <c r="B1121" s="37"/>
      <c r="C1121" s="26"/>
      <c r="D1121" s="10"/>
      <c r="E1121" s="27"/>
      <c r="F1121" s="28"/>
      <c r="G1121" s="28"/>
      <c r="H1121" s="29"/>
      <c r="I1121" s="10"/>
      <c r="J1121" s="30"/>
      <c r="K1121" s="28"/>
      <c r="L1121" s="29"/>
    </row>
    <row r="1122" spans="1:12" x14ac:dyDescent="0.2">
      <c r="A1122" s="37">
        <v>21</v>
      </c>
      <c r="B1122" s="37" t="s">
        <v>65</v>
      </c>
      <c r="C1122" s="31"/>
      <c r="D1122" s="43"/>
      <c r="E1122" s="27"/>
      <c r="F1122" s="28"/>
      <c r="G1122" s="28">
        <f>ROUND(125*C1069,0)</f>
        <v>149125</v>
      </c>
      <c r="H1122" s="29">
        <f>SUM(F1122:G1122)</f>
        <v>149125</v>
      </c>
      <c r="I1122" s="10"/>
      <c r="J1122" s="30" t="s">
        <v>62</v>
      </c>
      <c r="K1122" s="29">
        <f>ROUND(125/2*C1069,0)</f>
        <v>74563</v>
      </c>
      <c r="L1122" s="29">
        <f>ROUND(125/2*C1069,0)</f>
        <v>74563</v>
      </c>
    </row>
    <row r="1123" spans="1:12" x14ac:dyDescent="0.2">
      <c r="A1123" s="37"/>
      <c r="B1123" s="37"/>
      <c r="C1123" s="26"/>
      <c r="D1123" s="10"/>
      <c r="E1123" s="27"/>
      <c r="F1123" s="28"/>
      <c r="G1123" s="28"/>
      <c r="H1123" s="29"/>
      <c r="I1123" s="10"/>
      <c r="J1123" s="30"/>
      <c r="K1123" s="28"/>
      <c r="L1123" s="29"/>
    </row>
    <row r="1124" spans="1:12" x14ac:dyDescent="0.2">
      <c r="A1124" s="37">
        <v>22</v>
      </c>
      <c r="B1124" s="37" t="s">
        <v>66</v>
      </c>
      <c r="C1124" s="26">
        <v>10000</v>
      </c>
      <c r="D1124" s="10"/>
      <c r="E1124" s="27"/>
      <c r="F1124" s="28"/>
      <c r="G1124" s="28">
        <f>((E1083+E1109+E1114+E1116+E1118+E1120)*10000)</f>
        <v>140000</v>
      </c>
      <c r="H1124" s="29">
        <f>SUM(F1124:G1124)</f>
        <v>140000</v>
      </c>
      <c r="I1124" s="10"/>
      <c r="J1124" s="30">
        <f>ROUND(10000*E1083,0)</f>
        <v>10000</v>
      </c>
      <c r="K1124" s="32">
        <f>(ROUND(10000*(+E1118+E1116+E1114+E1109),0))</f>
        <v>90000</v>
      </c>
      <c r="L1124" s="33">
        <f>ROUND(10000*E1120,0)</f>
        <v>40000</v>
      </c>
    </row>
    <row r="1125" spans="1:12" x14ac:dyDescent="0.2">
      <c r="A1125" s="37"/>
      <c r="B1125" s="37"/>
      <c r="C1125" s="26"/>
      <c r="D1125" s="10"/>
      <c r="E1125" s="27"/>
      <c r="F1125" s="28"/>
      <c r="G1125" s="28"/>
      <c r="H1125" s="29"/>
      <c r="I1125" s="10"/>
      <c r="J1125" s="30"/>
      <c r="K1125" s="32"/>
      <c r="L1125" s="33"/>
    </row>
    <row r="1126" spans="1:12" x14ac:dyDescent="0.2">
      <c r="A1126" s="37">
        <v>23</v>
      </c>
      <c r="B1126" s="37" t="s">
        <v>82</v>
      </c>
      <c r="C1126" s="26"/>
      <c r="D1126" s="10"/>
      <c r="E1126" s="27"/>
      <c r="F1126" s="28"/>
      <c r="G1126" s="28">
        <v>31300</v>
      </c>
      <c r="H1126" s="29">
        <f>+G1126</f>
        <v>31300</v>
      </c>
      <c r="I1126" s="10"/>
      <c r="J1126" s="30"/>
      <c r="K1126" s="32"/>
      <c r="L1126" s="33">
        <f>+H1126</f>
        <v>31300</v>
      </c>
    </row>
    <row r="1127" spans="1:12" x14ac:dyDescent="0.2">
      <c r="B1127" s="2"/>
      <c r="C1127" s="26"/>
      <c r="D1127" s="10"/>
      <c r="E1127" s="27"/>
      <c r="F1127" s="28"/>
      <c r="G1127" s="28"/>
      <c r="H1127" s="29"/>
      <c r="I1127" s="10"/>
      <c r="J1127" s="30"/>
      <c r="K1127" s="28"/>
      <c r="L1127" s="29"/>
    </row>
    <row r="1128" spans="1:12" ht="15.75" x14ac:dyDescent="0.25">
      <c r="B1128" s="3" t="s">
        <v>67</v>
      </c>
      <c r="C1128" s="44"/>
      <c r="D1128" s="10"/>
      <c r="E1128" s="45">
        <f>SUM(E1081:E1124)</f>
        <v>20</v>
      </c>
      <c r="F1128" s="46">
        <f>SUM(F1081:F1126)</f>
        <v>1300872.0449999999</v>
      </c>
      <c r="G1128" s="46">
        <f>SUM(G1081:G1126)</f>
        <v>688556</v>
      </c>
      <c r="H1128" s="47">
        <f>SUM(H1081:H1127)</f>
        <v>1989428.0449999999</v>
      </c>
      <c r="I1128" s="10"/>
      <c r="J1128" s="48">
        <f>SUM(J1081:J1126)</f>
        <v>508760</v>
      </c>
      <c r="K1128" s="46">
        <f>SUM(K1081:K1127)</f>
        <v>953030</v>
      </c>
      <c r="L1128" s="47">
        <f>SUM(L1081:L1127)</f>
        <v>527639</v>
      </c>
    </row>
    <row r="1129" spans="1:12" x14ac:dyDescent="0.2">
      <c r="B1129" s="49"/>
      <c r="J1129" s="50"/>
      <c r="L1129" s="50"/>
    </row>
    <row r="1130" spans="1:12" x14ac:dyDescent="0.2">
      <c r="B1130" s="49"/>
      <c r="J1130" s="50"/>
      <c r="L1130" s="50"/>
    </row>
    <row r="1131" spans="1:12" x14ac:dyDescent="0.2">
      <c r="A1131" s="37">
        <v>24</v>
      </c>
      <c r="B1131" s="55" t="s">
        <v>68</v>
      </c>
      <c r="C1131" s="8"/>
      <c r="D1131" s="8"/>
      <c r="E1131" s="11"/>
      <c r="L1131" s="10">
        <f>+J1128+K1128+L1128</f>
        <v>1989429</v>
      </c>
    </row>
    <row r="1132" spans="1:12" x14ac:dyDescent="0.2">
      <c r="A1132" s="37">
        <v>25</v>
      </c>
      <c r="B1132" s="55" t="s">
        <v>69</v>
      </c>
      <c r="C1132" s="7"/>
      <c r="D1132" s="7"/>
      <c r="E1132" s="11"/>
      <c r="L1132" s="10">
        <v>1208612</v>
      </c>
    </row>
    <row r="1133" spans="1:12" ht="15.75" x14ac:dyDescent="0.25">
      <c r="A1133" s="37">
        <v>26</v>
      </c>
      <c r="B1133" s="55" t="s">
        <v>182</v>
      </c>
      <c r="C1133" s="7"/>
      <c r="D1133" s="7"/>
      <c r="E1133" s="11"/>
      <c r="J1133" s="10" t="s">
        <v>62</v>
      </c>
      <c r="L1133" s="51">
        <f>+L1131-L1132</f>
        <v>780817</v>
      </c>
    </row>
    <row r="1134" spans="1:12" x14ac:dyDescent="0.2">
      <c r="B1134" s="8"/>
      <c r="C1134" s="7"/>
      <c r="D1134" s="7"/>
      <c r="E1134" s="11"/>
      <c r="J1134" s="10"/>
      <c r="L1134" s="10"/>
    </row>
    <row r="1135" spans="1:12" ht="78.75" x14ac:dyDescent="0.25">
      <c r="B1135" s="8"/>
      <c r="C1135" s="7"/>
      <c r="D1135" s="7"/>
      <c r="E1135" s="11"/>
      <c r="J1135" s="51" t="s">
        <v>71</v>
      </c>
      <c r="K1135" s="52" t="s">
        <v>72</v>
      </c>
      <c r="L1135" s="53" t="s">
        <v>73</v>
      </c>
    </row>
    <row r="1136" spans="1:12" ht="15.75" x14ac:dyDescent="0.25">
      <c r="B1136" s="8" t="s">
        <v>74</v>
      </c>
      <c r="C1136" s="7"/>
      <c r="D1136" s="7"/>
      <c r="E1136" s="11"/>
      <c r="J1136" s="10">
        <f>+J1128+K1128</f>
        <v>1461790</v>
      </c>
      <c r="K1136" s="10">
        <f>+L1132</f>
        <v>1208612</v>
      </c>
      <c r="L1136" s="51">
        <f>+J1136-K1136</f>
        <v>253178</v>
      </c>
    </row>
    <row r="1137" spans="1:12" ht="15.75" x14ac:dyDescent="0.25">
      <c r="B1137" s="54" t="s">
        <v>75</v>
      </c>
      <c r="C1137" s="7"/>
      <c r="D1137" s="7"/>
      <c r="E1137" s="11"/>
      <c r="J1137" s="10">
        <f>+L1128</f>
        <v>527639</v>
      </c>
      <c r="K1137" s="10" t="s">
        <v>62</v>
      </c>
      <c r="L1137" s="51">
        <f>+J1137</f>
        <v>527639</v>
      </c>
    </row>
    <row r="1141" spans="1:12" x14ac:dyDescent="0.2">
      <c r="A1141" s="1" t="s">
        <v>23</v>
      </c>
      <c r="B1141" s="2"/>
    </row>
    <row r="1142" spans="1:12" ht="15.75" x14ac:dyDescent="0.25">
      <c r="A1142" s="56" t="s">
        <v>24</v>
      </c>
      <c r="B1142" s="3"/>
      <c r="C1142" s="56" t="s">
        <v>193</v>
      </c>
    </row>
    <row r="1143" spans="1:12" x14ac:dyDescent="0.2">
      <c r="A1143" s="55" t="s">
        <v>26</v>
      </c>
      <c r="B1143" s="2"/>
    </row>
    <row r="1144" spans="1:12" x14ac:dyDescent="0.2">
      <c r="B1144" s="2"/>
      <c r="C1144" s="4"/>
      <c r="D1144" s="4"/>
    </row>
    <row r="1145" spans="1:12" x14ac:dyDescent="0.2">
      <c r="B1145" s="2"/>
      <c r="C1145" s="5"/>
      <c r="D1145" s="5"/>
    </row>
    <row r="1146" spans="1:12" ht="15.75" x14ac:dyDescent="0.25">
      <c r="A1146" s="55" t="s">
        <v>27</v>
      </c>
      <c r="B1146" s="2"/>
      <c r="C1146" s="6">
        <v>1778</v>
      </c>
      <c r="D1146" s="4"/>
      <c r="E1146" s="7"/>
    </row>
    <row r="1147" spans="1:12" ht="15.75" x14ac:dyDescent="0.25">
      <c r="A1147" s="55" t="s">
        <v>28</v>
      </c>
      <c r="B1147" s="2"/>
      <c r="C1147" s="6">
        <f>C1146*0.06</f>
        <v>106.67999999999999</v>
      </c>
      <c r="D1147" s="4"/>
      <c r="E1147" s="7"/>
    </row>
    <row r="1148" spans="1:12" ht="15.75" x14ac:dyDescent="0.25">
      <c r="A1148" s="55" t="s">
        <v>29</v>
      </c>
      <c r="B1148" s="2"/>
      <c r="C1148" s="6">
        <f>C1146/3*0.2</f>
        <v>118.53333333333333</v>
      </c>
      <c r="D1148" s="6"/>
      <c r="E1148" s="7"/>
    </row>
    <row r="1149" spans="1:12" ht="15.75" x14ac:dyDescent="0.25">
      <c r="B1149" s="2" t="s">
        <v>30</v>
      </c>
      <c r="C1149" s="6"/>
      <c r="D1149" s="4"/>
      <c r="E1149" s="7"/>
    </row>
    <row r="1150" spans="1:12" x14ac:dyDescent="0.2">
      <c r="B1150" s="2"/>
    </row>
    <row r="1151" spans="1:12" x14ac:dyDescent="0.2">
      <c r="A1151" s="7" t="s">
        <v>31</v>
      </c>
      <c r="B1151" s="8"/>
      <c r="D1151" s="9"/>
      <c r="F1151" s="9">
        <v>53950</v>
      </c>
      <c r="H1151" s="10"/>
      <c r="I1151" s="10"/>
    </row>
    <row r="1152" spans="1:12" x14ac:dyDescent="0.2">
      <c r="A1152" s="7" t="s">
        <v>32</v>
      </c>
      <c r="B1152" s="8"/>
      <c r="D1152" s="9"/>
      <c r="F1152" s="9">
        <v>59350</v>
      </c>
      <c r="H1152" s="10"/>
      <c r="I1152" s="10"/>
    </row>
    <row r="1153" spans="1:12" x14ac:dyDescent="0.2">
      <c r="A1153" s="7" t="s">
        <v>33</v>
      </c>
      <c r="B1153" s="8"/>
      <c r="D1153" s="9"/>
      <c r="F1153" s="9">
        <v>36150</v>
      </c>
      <c r="H1153" s="10"/>
      <c r="I1153" s="10"/>
    </row>
    <row r="1154" spans="1:12" x14ac:dyDescent="0.2">
      <c r="A1154" s="7"/>
      <c r="B1154" s="8"/>
      <c r="C1154" s="11"/>
      <c r="D1154" s="11"/>
      <c r="H1154" s="10"/>
      <c r="I1154" s="10"/>
    </row>
    <row r="1155" spans="1:12" ht="15.75" x14ac:dyDescent="0.25">
      <c r="B1155" s="2"/>
      <c r="J1155" s="12" t="s">
        <v>34</v>
      </c>
      <c r="K1155" s="412" t="s">
        <v>35</v>
      </c>
      <c r="L1155" s="413"/>
    </row>
    <row r="1156" spans="1:12" ht="31.5" x14ac:dyDescent="0.25">
      <c r="A1156" s="56" t="s">
        <v>36</v>
      </c>
      <c r="B1156" s="13"/>
      <c r="C1156" s="14" t="s">
        <v>37</v>
      </c>
      <c r="D1156" s="15"/>
      <c r="E1156" s="12" t="s">
        <v>38</v>
      </c>
      <c r="F1156" s="12" t="s">
        <v>39</v>
      </c>
      <c r="G1156" s="12" t="s">
        <v>40</v>
      </c>
      <c r="H1156" s="12" t="s">
        <v>0</v>
      </c>
      <c r="I1156" s="16"/>
      <c r="J1156" s="14" t="s">
        <v>41</v>
      </c>
      <c r="K1156" s="17" t="s">
        <v>42</v>
      </c>
      <c r="L1156" s="12" t="s">
        <v>43</v>
      </c>
    </row>
    <row r="1157" spans="1:12" ht="15.75" x14ac:dyDescent="0.25">
      <c r="A1157" s="18"/>
      <c r="B1157" s="13"/>
      <c r="C1157" s="19"/>
      <c r="D1157" s="15"/>
      <c r="E1157" s="20"/>
      <c r="F1157" s="21"/>
      <c r="G1157" s="21"/>
      <c r="H1157" s="22"/>
      <c r="I1157" s="16"/>
      <c r="J1157" s="23"/>
      <c r="K1157" s="24"/>
      <c r="L1157" s="25"/>
    </row>
    <row r="1158" spans="1:12" x14ac:dyDescent="0.2">
      <c r="A1158" s="55">
        <v>1</v>
      </c>
      <c r="B1158" s="2" t="s">
        <v>44</v>
      </c>
      <c r="C1158" s="26">
        <v>50000</v>
      </c>
      <c r="D1158" s="10"/>
      <c r="E1158" s="27"/>
      <c r="F1158" s="28"/>
      <c r="G1158" s="28">
        <f>+C1158</f>
        <v>50000</v>
      </c>
      <c r="H1158" s="29">
        <f>SUM(F1158+G1158)</f>
        <v>50000</v>
      </c>
      <c r="I1158" s="10"/>
      <c r="J1158" s="30">
        <f>+H1158</f>
        <v>50000</v>
      </c>
      <c r="K1158" s="28"/>
      <c r="L1158" s="29"/>
    </row>
    <row r="1159" spans="1:12" x14ac:dyDescent="0.2">
      <c r="B1159" s="2"/>
      <c r="C1159" s="26"/>
      <c r="D1159" s="10"/>
      <c r="E1159" s="27"/>
      <c r="F1159" s="28"/>
      <c r="G1159" s="28"/>
      <c r="H1159" s="29"/>
      <c r="I1159" s="10"/>
      <c r="J1159" s="30"/>
      <c r="K1159" s="28"/>
      <c r="L1159" s="29"/>
    </row>
    <row r="1160" spans="1:12" x14ac:dyDescent="0.2">
      <c r="A1160" s="55">
        <v>2</v>
      </c>
      <c r="B1160" s="2" t="s">
        <v>45</v>
      </c>
      <c r="C1160" s="26">
        <v>77000</v>
      </c>
      <c r="D1160" s="10"/>
      <c r="E1160" s="27">
        <v>1</v>
      </c>
      <c r="F1160" s="28">
        <f>+C1160*E1160</f>
        <v>77000</v>
      </c>
      <c r="G1160" s="28"/>
      <c r="H1160" s="29">
        <f>SUM(F1160+G1160)</f>
        <v>77000</v>
      </c>
      <c r="I1160" s="10"/>
      <c r="J1160" s="30">
        <f>+H1160</f>
        <v>77000</v>
      </c>
      <c r="K1160" s="28"/>
      <c r="L1160" s="29"/>
    </row>
    <row r="1161" spans="1:12" x14ac:dyDescent="0.2">
      <c r="B1161" s="2"/>
      <c r="C1161" s="26"/>
      <c r="D1161" s="10"/>
      <c r="E1161" s="27"/>
      <c r="F1161" s="28"/>
      <c r="G1161" s="28"/>
      <c r="H1161" s="29"/>
      <c r="I1161" s="10"/>
      <c r="J1161" s="30"/>
      <c r="K1161" s="28"/>
      <c r="L1161" s="29"/>
    </row>
    <row r="1162" spans="1:12" ht="30" x14ac:dyDescent="0.2">
      <c r="A1162" s="55">
        <v>3</v>
      </c>
      <c r="B1162" s="2" t="s">
        <v>81</v>
      </c>
      <c r="C1162" s="26">
        <f>+F1152</f>
        <v>59350</v>
      </c>
      <c r="D1162" s="10"/>
      <c r="E1162" s="27">
        <v>1</v>
      </c>
      <c r="F1162" s="28">
        <f>+C1162*E1162</f>
        <v>59350</v>
      </c>
      <c r="G1162" s="28"/>
      <c r="H1162" s="29">
        <f>SUM(F1162+G1162)</f>
        <v>59350</v>
      </c>
      <c r="I1162" s="10"/>
      <c r="J1162" s="30">
        <f>+H1162</f>
        <v>59350</v>
      </c>
      <c r="K1162" s="28"/>
      <c r="L1162" s="29"/>
    </row>
    <row r="1163" spans="1:12" x14ac:dyDescent="0.2">
      <c r="B1163" s="2"/>
      <c r="C1163" s="26"/>
      <c r="D1163" s="10"/>
      <c r="E1163" s="27"/>
      <c r="F1163" s="28"/>
      <c r="G1163" s="28"/>
      <c r="H1163" s="29"/>
      <c r="I1163" s="10"/>
      <c r="J1163" s="30"/>
      <c r="K1163" s="28"/>
      <c r="L1163" s="29"/>
    </row>
    <row r="1164" spans="1:12" x14ac:dyDescent="0.2">
      <c r="A1164" s="55">
        <v>4</v>
      </c>
      <c r="B1164" s="2" t="s">
        <v>46</v>
      </c>
      <c r="C1164" s="26">
        <v>39300</v>
      </c>
      <c r="D1164" s="10"/>
      <c r="E1164" s="27">
        <v>1</v>
      </c>
      <c r="F1164" s="28">
        <f>+C1164*E1164</f>
        <v>39300</v>
      </c>
      <c r="G1164" s="28"/>
      <c r="H1164" s="29">
        <f>SUM(F1164+G1164)</f>
        <v>39300</v>
      </c>
      <c r="I1164" s="10"/>
      <c r="J1164" s="30">
        <f>+H1164</f>
        <v>39300</v>
      </c>
      <c r="K1164" s="28"/>
      <c r="L1164" s="29"/>
    </row>
    <row r="1165" spans="1:12" x14ac:dyDescent="0.2">
      <c r="B1165" s="2"/>
      <c r="C1165" s="26"/>
      <c r="D1165" s="10"/>
      <c r="E1165" s="27"/>
      <c r="F1165" s="28"/>
      <c r="G1165" s="28"/>
      <c r="H1165" s="29"/>
      <c r="I1165" s="10"/>
      <c r="J1165" s="30"/>
      <c r="K1165" s="28"/>
      <c r="L1165" s="29"/>
    </row>
    <row r="1166" spans="1:12" x14ac:dyDescent="0.2">
      <c r="A1166" s="55">
        <v>5</v>
      </c>
      <c r="B1166" s="2" t="s">
        <v>47</v>
      </c>
      <c r="C1166" s="26">
        <v>36000</v>
      </c>
      <c r="D1166" s="10"/>
      <c r="E1166" s="27">
        <v>1</v>
      </c>
      <c r="F1166" s="28">
        <f>+C1166*E1166</f>
        <v>36000</v>
      </c>
      <c r="G1166" s="28"/>
      <c r="H1166" s="29">
        <f>SUM(F1166+G1166)</f>
        <v>36000</v>
      </c>
      <c r="I1166" s="10"/>
      <c r="J1166" s="30">
        <f>+H1166</f>
        <v>36000</v>
      </c>
      <c r="K1166" s="28"/>
      <c r="L1166" s="29"/>
    </row>
    <row r="1167" spans="1:12" x14ac:dyDescent="0.2">
      <c r="B1167" s="2"/>
      <c r="C1167" s="26"/>
      <c r="D1167" s="10"/>
      <c r="E1167" s="27"/>
      <c r="F1167" s="28"/>
      <c r="G1167" s="28"/>
      <c r="H1167" s="29"/>
      <c r="I1167" s="10"/>
      <c r="J1167" s="30"/>
      <c r="K1167" s="28"/>
      <c r="L1167" s="29"/>
    </row>
    <row r="1168" spans="1:12" x14ac:dyDescent="0.2">
      <c r="A1168" s="55">
        <v>6</v>
      </c>
      <c r="B1168" s="2" t="s">
        <v>48</v>
      </c>
      <c r="C1168" s="26">
        <v>51000</v>
      </c>
      <c r="D1168" s="10"/>
      <c r="E1168" s="27">
        <v>1</v>
      </c>
      <c r="F1168" s="28">
        <f>+C1168*E1168</f>
        <v>51000</v>
      </c>
      <c r="G1168" s="28"/>
      <c r="H1168" s="29">
        <f>SUM(F1168+G1168)</f>
        <v>51000</v>
      </c>
      <c r="I1168" s="10"/>
      <c r="J1168" s="30">
        <f>+H1168</f>
        <v>51000</v>
      </c>
      <c r="K1168" s="28"/>
      <c r="L1168" s="29"/>
    </row>
    <row r="1169" spans="1:12" x14ac:dyDescent="0.2">
      <c r="B1169" s="2"/>
      <c r="C1169" s="26"/>
      <c r="D1169" s="10"/>
      <c r="E1169" s="27"/>
      <c r="F1169" s="28"/>
      <c r="G1169" s="28"/>
      <c r="H1169" s="29"/>
      <c r="I1169" s="10"/>
      <c r="J1169" s="30"/>
      <c r="K1169" s="28"/>
      <c r="L1169" s="29"/>
    </row>
    <row r="1170" spans="1:12" x14ac:dyDescent="0.2">
      <c r="A1170" s="55">
        <v>7</v>
      </c>
      <c r="B1170" s="2" t="s">
        <v>49</v>
      </c>
      <c r="C1170" s="31">
        <v>0</v>
      </c>
      <c r="D1170" s="10"/>
      <c r="E1170" s="27"/>
      <c r="F1170" s="28"/>
      <c r="G1170" s="32">
        <v>0</v>
      </c>
      <c r="H1170" s="33">
        <v>0</v>
      </c>
      <c r="I1170" s="10"/>
      <c r="J1170" s="34">
        <f>+H1170</f>
        <v>0</v>
      </c>
      <c r="K1170" s="32">
        <v>0</v>
      </c>
      <c r="L1170" s="33">
        <v>0</v>
      </c>
    </row>
    <row r="1171" spans="1:12" x14ac:dyDescent="0.2">
      <c r="B1171" s="2"/>
      <c r="C1171" s="26"/>
      <c r="D1171" s="10"/>
      <c r="E1171" s="27"/>
      <c r="F1171" s="28"/>
      <c r="G1171" s="28"/>
      <c r="H1171" s="29"/>
      <c r="I1171" s="10"/>
      <c r="J1171" s="30"/>
      <c r="K1171" s="28"/>
      <c r="L1171" s="29"/>
    </row>
    <row r="1172" spans="1:12" x14ac:dyDescent="0.2">
      <c r="A1172" s="55">
        <v>8</v>
      </c>
      <c r="B1172" s="2" t="s">
        <v>50</v>
      </c>
      <c r="C1172" s="26">
        <v>13000</v>
      </c>
      <c r="D1172" s="10"/>
      <c r="E1172" s="27"/>
      <c r="F1172" s="28"/>
      <c r="G1172" s="28">
        <f>+C1172</f>
        <v>13000</v>
      </c>
      <c r="H1172" s="29">
        <f>SUM(F1172+G1172)</f>
        <v>13000</v>
      </c>
      <c r="I1172" s="10"/>
      <c r="J1172" s="30">
        <f>+H1172</f>
        <v>13000</v>
      </c>
      <c r="K1172" s="28"/>
      <c r="L1172" s="29"/>
    </row>
    <row r="1173" spans="1:12" x14ac:dyDescent="0.2">
      <c r="B1173" s="2"/>
      <c r="C1173" s="26"/>
      <c r="D1173" s="10"/>
      <c r="E1173" s="27"/>
      <c r="F1173" s="28"/>
      <c r="G1173" s="28"/>
      <c r="H1173" s="29"/>
      <c r="I1173" s="10"/>
      <c r="J1173" s="30"/>
      <c r="K1173" s="28"/>
      <c r="L1173" s="29"/>
    </row>
    <row r="1174" spans="1:12" x14ac:dyDescent="0.2">
      <c r="A1174" s="55">
        <v>9</v>
      </c>
      <c r="B1174" s="2" t="s">
        <v>51</v>
      </c>
      <c r="C1174" s="26">
        <v>30000</v>
      </c>
      <c r="D1174" s="10"/>
      <c r="E1174" s="27"/>
      <c r="F1174" s="28"/>
      <c r="G1174" s="28">
        <f>+C1174</f>
        <v>30000</v>
      </c>
      <c r="H1174" s="29">
        <f>SUM(F1174+G1174)</f>
        <v>30000</v>
      </c>
      <c r="I1174" s="10"/>
      <c r="J1174" s="30">
        <f>+H1174</f>
        <v>30000</v>
      </c>
      <c r="K1174" s="28"/>
      <c r="L1174" s="29"/>
    </row>
    <row r="1175" spans="1:12" x14ac:dyDescent="0.2">
      <c r="B1175" s="2"/>
      <c r="C1175" s="26"/>
      <c r="D1175" s="10"/>
      <c r="E1175" s="27"/>
      <c r="F1175" s="28"/>
      <c r="G1175" s="28"/>
      <c r="H1175" s="29"/>
      <c r="I1175" s="10"/>
      <c r="J1175" s="30"/>
      <c r="K1175" s="28"/>
      <c r="L1175" s="29"/>
    </row>
    <row r="1176" spans="1:12" x14ac:dyDescent="0.2">
      <c r="A1176" s="55">
        <v>10</v>
      </c>
      <c r="B1176" s="2" t="s">
        <v>52</v>
      </c>
      <c r="C1176" s="26">
        <v>40000</v>
      </c>
      <c r="D1176" s="10"/>
      <c r="E1176" s="27"/>
      <c r="F1176" s="28"/>
      <c r="G1176" s="28">
        <f>+C1176</f>
        <v>40000</v>
      </c>
      <c r="H1176" s="29">
        <f>SUM(F1176+G1176)</f>
        <v>40000</v>
      </c>
      <c r="I1176" s="10"/>
      <c r="J1176" s="30">
        <f>+H1176</f>
        <v>40000</v>
      </c>
      <c r="K1176" s="28"/>
      <c r="L1176" s="29"/>
    </row>
    <row r="1177" spans="1:12" x14ac:dyDescent="0.2">
      <c r="B1177" s="2"/>
      <c r="C1177" s="26"/>
      <c r="D1177" s="10"/>
      <c r="E1177" s="27"/>
      <c r="F1177" s="28"/>
      <c r="G1177" s="28"/>
      <c r="H1177" s="29"/>
      <c r="I1177" s="10"/>
      <c r="J1177" s="30"/>
      <c r="K1177" s="28"/>
      <c r="L1177" s="29"/>
    </row>
    <row r="1178" spans="1:12" ht="30" x14ac:dyDescent="0.2">
      <c r="A1178" s="55">
        <v>11</v>
      </c>
      <c r="B1178" s="2" t="s">
        <v>53</v>
      </c>
      <c r="C1178" s="26"/>
      <c r="D1178" s="10"/>
      <c r="E1178" s="27"/>
      <c r="F1178" s="28"/>
      <c r="G1178" s="28">
        <f>ROUND((F1160+F1162+F1164+F1166+F1168+F1180+F1184+F1186+F1188+F1191+F1193+F1195+F1197)*0.15,0)</f>
        <v>264095</v>
      </c>
      <c r="H1178" s="60">
        <f>SUM(F1178+G1178)</f>
        <v>264095</v>
      </c>
      <c r="I1178" s="10"/>
      <c r="J1178" s="30">
        <f>ROUND((SUM(F1160:F1168)*0.15),0)</f>
        <v>39398</v>
      </c>
      <c r="K1178" s="32">
        <f>ROUND(SUM(F1180:F1195)*0.15,0)</f>
        <v>176143</v>
      </c>
      <c r="L1178" s="33">
        <f>ROUND(F1197*0.15,0)</f>
        <v>48555</v>
      </c>
    </row>
    <row r="1179" spans="1:12" x14ac:dyDescent="0.2">
      <c r="B1179" s="2"/>
      <c r="C1179" s="26"/>
      <c r="D1179" s="10"/>
      <c r="E1179" s="27"/>
      <c r="F1179" s="28"/>
      <c r="G1179" s="28"/>
      <c r="H1179" s="29"/>
      <c r="I1179" s="10"/>
      <c r="J1179" s="30"/>
      <c r="K1179" s="32"/>
      <c r="L1179" s="33"/>
    </row>
    <row r="1180" spans="1:12" x14ac:dyDescent="0.2">
      <c r="A1180" s="55">
        <v>12</v>
      </c>
      <c r="B1180" s="2" t="s">
        <v>54</v>
      </c>
      <c r="C1180" s="26"/>
      <c r="D1180" s="10"/>
      <c r="E1180" s="27"/>
      <c r="F1180" s="28">
        <f>(F1160+F1162+F1164+F1166+F1168+F1184+F1186+F1188+F1191+F1193+F1195+F1197)*0.2045</f>
        <v>298920.71749999997</v>
      </c>
      <c r="G1180" s="28"/>
      <c r="H1180" s="29">
        <f>(+H1160+H1162+H1164+H1166+H1168+H1184+H1186+H1188+H1191+H1193+H1195+H1197)*0.2045</f>
        <v>298920.71749999997</v>
      </c>
      <c r="I1180" s="10"/>
      <c r="J1180" s="30">
        <f>ROUND((SUM(F1160:F1168)*0.2045),0)</f>
        <v>53712</v>
      </c>
      <c r="K1180" s="32">
        <f>ROUND((SUM(F1184:F1195)*0.2045),0)</f>
        <v>179012</v>
      </c>
      <c r="L1180" s="33">
        <f>ROUND(F1197*0.2045,0)</f>
        <v>66197</v>
      </c>
    </row>
    <row r="1181" spans="1:12" x14ac:dyDescent="0.2">
      <c r="B1181" s="2"/>
      <c r="C1181" s="26"/>
      <c r="D1181" s="10"/>
      <c r="E1181" s="27"/>
      <c r="F1181" s="28"/>
      <c r="G1181" s="28"/>
      <c r="H1181" s="29"/>
      <c r="I1181" s="10"/>
      <c r="J1181" s="30"/>
      <c r="K1181" s="32"/>
      <c r="L1181" s="33"/>
    </row>
    <row r="1182" spans="1:12" x14ac:dyDescent="0.2">
      <c r="A1182" s="55">
        <v>13</v>
      </c>
      <c r="B1182" s="2" t="s">
        <v>55</v>
      </c>
      <c r="C1182" s="26">
        <v>2000</v>
      </c>
      <c r="D1182" s="10"/>
      <c r="E1182" s="27"/>
      <c r="F1182" s="28"/>
      <c r="G1182" s="28">
        <f>E1205*2000</f>
        <v>54000</v>
      </c>
      <c r="H1182" s="29">
        <f>SUM(F1182:G1182)</f>
        <v>54000</v>
      </c>
      <c r="I1182" s="10"/>
      <c r="J1182" s="30">
        <f>(E1160+E1162+E1164+E1166+E1168)*2000</f>
        <v>10000</v>
      </c>
      <c r="K1182" s="32">
        <f>ROUND(SUM(E1186:E1195)*2000,0)</f>
        <v>32000</v>
      </c>
      <c r="L1182" s="33">
        <f>ROUND(E1197*2000,0)</f>
        <v>12000</v>
      </c>
    </row>
    <row r="1183" spans="1:12" x14ac:dyDescent="0.2">
      <c r="B1183" s="2"/>
      <c r="C1183" s="26"/>
      <c r="D1183" s="10"/>
      <c r="E1183" s="27"/>
      <c r="F1183" s="28"/>
      <c r="G1183" s="28"/>
      <c r="H1183" s="29"/>
      <c r="I1183" s="10"/>
      <c r="J1183" s="30"/>
      <c r="K1183" s="32"/>
      <c r="L1183" s="33"/>
    </row>
    <row r="1184" spans="1:12" ht="30" x14ac:dyDescent="0.2">
      <c r="A1184" s="55">
        <v>14</v>
      </c>
      <c r="B1184" s="2" t="s">
        <v>56</v>
      </c>
      <c r="C1184" s="26"/>
      <c r="D1184" s="10"/>
      <c r="E1184" s="27"/>
      <c r="F1184" s="28">
        <f>(F1191+F1195+F1197+F1186)*0.05</f>
        <v>49365</v>
      </c>
      <c r="G1184" s="28"/>
      <c r="H1184" s="29">
        <f>SUM(F1184:G1184)</f>
        <v>49365</v>
      </c>
      <c r="I1184" s="10"/>
      <c r="J1184" s="30"/>
      <c r="K1184" s="32">
        <f>ROUND((+F1186+F1191+F1195)*0.05,0)</f>
        <v>33180</v>
      </c>
      <c r="L1184" s="33">
        <f>ROUND(F1197*0.05,0)</f>
        <v>16185</v>
      </c>
    </row>
    <row r="1185" spans="1:12" x14ac:dyDescent="0.2">
      <c r="B1185" s="2"/>
      <c r="C1185" s="26"/>
      <c r="D1185" s="10"/>
      <c r="E1185" s="27"/>
      <c r="F1185" s="28"/>
      <c r="G1185" s="28"/>
      <c r="H1185" s="29"/>
      <c r="I1185" s="10"/>
      <c r="J1185" s="30"/>
      <c r="K1185" s="28"/>
      <c r="L1185" s="29"/>
    </row>
    <row r="1186" spans="1:12" x14ac:dyDescent="0.2">
      <c r="A1186" s="55">
        <v>15</v>
      </c>
      <c r="B1186" s="2" t="s">
        <v>57</v>
      </c>
      <c r="C1186" s="26">
        <f>+F1152</f>
        <v>59350</v>
      </c>
      <c r="D1186" s="10"/>
      <c r="E1186" s="27">
        <f>ROUND((E1197+E1195+E1193+E1191+E1188)/6,0)</f>
        <v>3</v>
      </c>
      <c r="F1186" s="28">
        <f>F1152*E1186</f>
        <v>178050</v>
      </c>
      <c r="G1186" s="28"/>
      <c r="H1186" s="29">
        <f>SUM(F1186:G1186)</f>
        <v>178050</v>
      </c>
      <c r="I1186" s="10"/>
      <c r="J1186" s="27"/>
      <c r="K1186" s="32">
        <f>ROUND(F1186*((+E$49+E$51+E$53)/(E$49+E$51+E$53+E$55)),0)</f>
        <v>112157</v>
      </c>
      <c r="L1186" s="33">
        <f>ROUND((+F1186*(E$55/(+E$49+E$51+E$53+E$55))),0)</f>
        <v>65893</v>
      </c>
    </row>
    <row r="1187" spans="1:12" x14ac:dyDescent="0.2">
      <c r="B1187" s="2"/>
      <c r="C1187" s="26"/>
      <c r="D1187" s="10"/>
      <c r="E1187" s="27"/>
      <c r="F1187" s="28"/>
      <c r="G1187" s="28"/>
      <c r="H1187" s="29"/>
      <c r="I1187" s="10"/>
      <c r="J1187" s="30"/>
      <c r="K1187" s="28"/>
      <c r="L1187" s="29"/>
    </row>
    <row r="1188" spans="1:12" x14ac:dyDescent="0.2">
      <c r="A1188" s="55">
        <v>16</v>
      </c>
      <c r="B1188" s="2" t="s">
        <v>58</v>
      </c>
      <c r="C1188" s="26">
        <f>+F1153</f>
        <v>36150</v>
      </c>
      <c r="D1188" s="10"/>
      <c r="E1188" s="27">
        <f>ROUND((E1197+E1195+E1193+E1191)/5,0)</f>
        <v>3</v>
      </c>
      <c r="F1188" s="28">
        <f>F1153*E1188</f>
        <v>108450</v>
      </c>
      <c r="G1188" s="28"/>
      <c r="H1188" s="29">
        <f>SUM(F1188:G1188)</f>
        <v>108450</v>
      </c>
      <c r="I1188" s="10"/>
      <c r="J1188" s="30"/>
      <c r="K1188" s="32">
        <f>ROUND(F1188*((+E$49+E$51+E$53)/(E$49+E$51+E$53+E$55)),0)</f>
        <v>68315</v>
      </c>
      <c r="L1188" s="33">
        <f>ROUND((+F1188*(E$55/(+E$49+E$51+E$53+E$55))),0)</f>
        <v>40135</v>
      </c>
    </row>
    <row r="1189" spans="1:12" x14ac:dyDescent="0.2">
      <c r="B1189" s="2"/>
      <c r="C1189" s="26"/>
      <c r="D1189" s="10"/>
      <c r="E1189" s="27"/>
      <c r="F1189" s="28"/>
      <c r="G1189" s="28"/>
      <c r="H1189" s="29"/>
      <c r="I1189" s="10"/>
      <c r="J1189" s="30"/>
      <c r="K1189" s="28"/>
      <c r="L1189" s="29"/>
    </row>
    <row r="1190" spans="1:12" ht="15.75" x14ac:dyDescent="0.25">
      <c r="A1190" s="18" t="s">
        <v>59</v>
      </c>
      <c r="B1190" s="2"/>
      <c r="C1190" s="26"/>
      <c r="D1190" s="10"/>
      <c r="E1190" s="27"/>
      <c r="F1190" s="28"/>
      <c r="G1190" s="28"/>
      <c r="H1190" s="29"/>
      <c r="I1190" s="10"/>
      <c r="J1190" s="30"/>
      <c r="K1190" s="28"/>
      <c r="L1190" s="29"/>
    </row>
    <row r="1191" spans="1:12" x14ac:dyDescent="0.2">
      <c r="A1191" s="36">
        <v>17</v>
      </c>
      <c r="B1191" s="37" t="s">
        <v>60</v>
      </c>
      <c r="C1191" s="38">
        <f>+F1151</f>
        <v>53950</v>
      </c>
      <c r="D1191" s="39"/>
      <c r="E1191" s="40">
        <f>ROUND(C1147/30,0)</f>
        <v>4</v>
      </c>
      <c r="F1191" s="41">
        <f>F1151*E1191</f>
        <v>215800</v>
      </c>
      <c r="G1191" s="41"/>
      <c r="H1191" s="35">
        <f>SUM(F1191:G1191)</f>
        <v>215800</v>
      </c>
      <c r="I1191" s="39"/>
      <c r="J1191" s="42"/>
      <c r="K1191" s="28">
        <f>F1151*E1191</f>
        <v>215800</v>
      </c>
      <c r="L1191" s="29"/>
    </row>
    <row r="1192" spans="1:12" x14ac:dyDescent="0.2">
      <c r="A1192" s="37"/>
      <c r="B1192" s="37"/>
      <c r="C1192" s="26"/>
      <c r="D1192" s="10"/>
      <c r="E1192" s="27"/>
      <c r="F1192" s="28"/>
      <c r="G1192" s="28"/>
      <c r="H1192" s="29"/>
      <c r="I1192" s="10"/>
      <c r="J1192" s="30"/>
      <c r="K1192" s="28"/>
      <c r="L1192" s="29"/>
    </row>
    <row r="1193" spans="1:12" ht="30" x14ac:dyDescent="0.2">
      <c r="A1193" s="36">
        <v>18</v>
      </c>
      <c r="B1193" s="37" t="s">
        <v>61</v>
      </c>
      <c r="C1193" s="26">
        <f>+F1151</f>
        <v>53950</v>
      </c>
      <c r="D1193" s="10"/>
      <c r="E1193" s="27">
        <v>1</v>
      </c>
      <c r="F1193" s="28">
        <f>F1151*E1193</f>
        <v>53950</v>
      </c>
      <c r="G1193" s="28"/>
      <c r="H1193" s="29">
        <f>SUM(F1193:G1193)</f>
        <v>53950</v>
      </c>
      <c r="I1193" s="10"/>
      <c r="J1193" s="30" t="s">
        <v>62</v>
      </c>
      <c r="K1193" s="28">
        <f>ROUND(E1193*F1151,0)</f>
        <v>53950</v>
      </c>
      <c r="L1193" s="29"/>
    </row>
    <row r="1194" spans="1:12" x14ac:dyDescent="0.2">
      <c r="A1194" s="37"/>
      <c r="B1194" s="37"/>
      <c r="C1194" s="26"/>
      <c r="D1194" s="10"/>
      <c r="E1194" s="27"/>
      <c r="F1194" s="28"/>
      <c r="G1194" s="28"/>
      <c r="H1194" s="29"/>
      <c r="I1194" s="10"/>
      <c r="J1194" s="30"/>
      <c r="K1194" s="28"/>
      <c r="L1194" s="29"/>
    </row>
    <row r="1195" spans="1:12" x14ac:dyDescent="0.2">
      <c r="A1195" s="37">
        <v>19</v>
      </c>
      <c r="B1195" s="37" t="s">
        <v>63</v>
      </c>
      <c r="C1195" s="26">
        <f>+F1151</f>
        <v>53950</v>
      </c>
      <c r="D1195" s="10"/>
      <c r="E1195" s="27">
        <f>ROUND(C1147/20,0)</f>
        <v>5</v>
      </c>
      <c r="F1195" s="28">
        <f>F1151*E1195</f>
        <v>269750</v>
      </c>
      <c r="G1195" s="28"/>
      <c r="H1195" s="29">
        <f>SUM(F1195:G1195)</f>
        <v>269750</v>
      </c>
      <c r="I1195" s="10"/>
      <c r="J1195" s="30"/>
      <c r="K1195" s="28">
        <f>F1151*E1195</f>
        <v>269750</v>
      </c>
      <c r="L1195" s="29"/>
    </row>
    <row r="1196" spans="1:12" x14ac:dyDescent="0.2">
      <c r="A1196" s="37"/>
      <c r="B1196" s="37"/>
      <c r="C1196" s="26"/>
      <c r="D1196" s="10"/>
      <c r="E1196" s="27"/>
      <c r="F1196" s="28"/>
      <c r="G1196" s="28"/>
      <c r="H1196" s="29"/>
      <c r="I1196" s="10"/>
      <c r="J1196" s="30"/>
      <c r="K1196" s="28"/>
      <c r="L1196" s="29"/>
    </row>
    <row r="1197" spans="1:12" x14ac:dyDescent="0.2">
      <c r="A1197" s="37">
        <v>20</v>
      </c>
      <c r="B1197" s="37" t="s">
        <v>64</v>
      </c>
      <c r="C1197" s="26">
        <f>+F1151</f>
        <v>53950</v>
      </c>
      <c r="D1197" s="10"/>
      <c r="E1197" s="27">
        <f>ROUND(C1148/20,0)</f>
        <v>6</v>
      </c>
      <c r="F1197" s="28">
        <f>F1151*E1197</f>
        <v>323700</v>
      </c>
      <c r="G1197" s="28"/>
      <c r="H1197" s="29">
        <f>SUM(F1197:G1197)</f>
        <v>323700</v>
      </c>
      <c r="I1197" s="10"/>
      <c r="J1197" s="30"/>
      <c r="K1197" s="28"/>
      <c r="L1197" s="29">
        <f>F1151*E1197</f>
        <v>323700</v>
      </c>
    </row>
    <row r="1198" spans="1:12" x14ac:dyDescent="0.2">
      <c r="A1198" s="37"/>
      <c r="B1198" s="37"/>
      <c r="C1198" s="26"/>
      <c r="D1198" s="10"/>
      <c r="E1198" s="27"/>
      <c r="F1198" s="28"/>
      <c r="G1198" s="28"/>
      <c r="H1198" s="29"/>
      <c r="I1198" s="10"/>
      <c r="J1198" s="30"/>
      <c r="K1198" s="28"/>
      <c r="L1198" s="29"/>
    </row>
    <row r="1199" spans="1:12" x14ac:dyDescent="0.2">
      <c r="A1199" s="37">
        <v>21</v>
      </c>
      <c r="B1199" s="37" t="s">
        <v>65</v>
      </c>
      <c r="C1199" s="31"/>
      <c r="D1199" s="43"/>
      <c r="E1199" s="27"/>
      <c r="F1199" s="28"/>
      <c r="G1199" s="28">
        <f>ROUND(125*C1146,0)</f>
        <v>222250</v>
      </c>
      <c r="H1199" s="29">
        <f>SUM(F1199:G1199)</f>
        <v>222250</v>
      </c>
      <c r="I1199" s="10"/>
      <c r="J1199" s="30" t="s">
        <v>62</v>
      </c>
      <c r="K1199" s="29">
        <f>ROUND(125/2*C1146,0)</f>
        <v>111125</v>
      </c>
      <c r="L1199" s="29">
        <f>ROUND(125/2*C1146,0)</f>
        <v>111125</v>
      </c>
    </row>
    <row r="1200" spans="1:12" x14ac:dyDescent="0.2">
      <c r="A1200" s="37"/>
      <c r="B1200" s="37"/>
      <c r="C1200" s="26"/>
      <c r="D1200" s="10"/>
      <c r="E1200" s="27"/>
      <c r="F1200" s="28"/>
      <c r="G1200" s="28"/>
      <c r="H1200" s="29"/>
      <c r="I1200" s="10"/>
      <c r="J1200" s="30"/>
      <c r="K1200" s="28"/>
      <c r="L1200" s="29"/>
    </row>
    <row r="1201" spans="1:12" x14ac:dyDescent="0.2">
      <c r="A1201" s="37">
        <v>22</v>
      </c>
      <c r="B1201" s="37" t="s">
        <v>66</v>
      </c>
      <c r="C1201" s="26">
        <v>10000</v>
      </c>
      <c r="D1201" s="10"/>
      <c r="E1201" s="27"/>
      <c r="F1201" s="28"/>
      <c r="G1201" s="28">
        <f>((E1160+E1186+E1191+E1193+E1195+E1197)*10000)</f>
        <v>200000</v>
      </c>
      <c r="H1201" s="29">
        <f>SUM(F1201:G1201)</f>
        <v>200000</v>
      </c>
      <c r="I1201" s="10"/>
      <c r="J1201" s="30">
        <f>ROUND(10000*E1160,0)</f>
        <v>10000</v>
      </c>
      <c r="K1201" s="32">
        <f>(ROUND(10000*(+E1195+E1193+E1191+E1186),0))</f>
        <v>130000</v>
      </c>
      <c r="L1201" s="33">
        <f>ROUND(10000*E1197,0)</f>
        <v>60000</v>
      </c>
    </row>
    <row r="1202" spans="1:12" x14ac:dyDescent="0.2">
      <c r="A1202" s="37"/>
      <c r="B1202" s="37"/>
      <c r="C1202" s="26"/>
      <c r="D1202" s="10"/>
      <c r="E1202" s="27"/>
      <c r="F1202" s="28"/>
      <c r="G1202" s="28"/>
      <c r="H1202" s="29"/>
      <c r="I1202" s="10"/>
      <c r="J1202" s="30"/>
      <c r="K1202" s="32"/>
      <c r="L1202" s="33"/>
    </row>
    <row r="1203" spans="1:12" x14ac:dyDescent="0.2">
      <c r="A1203" s="37">
        <v>23</v>
      </c>
      <c r="B1203" s="37" t="s">
        <v>82</v>
      </c>
      <c r="C1203" s="26"/>
      <c r="D1203" s="10"/>
      <c r="E1203" s="27"/>
      <c r="F1203" s="28"/>
      <c r="G1203" s="28">
        <v>38700</v>
      </c>
      <c r="H1203" s="29">
        <f>+G1203</f>
        <v>38700</v>
      </c>
      <c r="I1203" s="10"/>
      <c r="J1203" s="30"/>
      <c r="K1203" s="32"/>
      <c r="L1203" s="33">
        <f>+H1203</f>
        <v>38700</v>
      </c>
    </row>
    <row r="1204" spans="1:12" x14ac:dyDescent="0.2">
      <c r="B1204" s="2"/>
      <c r="C1204" s="26"/>
      <c r="D1204" s="10"/>
      <c r="E1204" s="27"/>
      <c r="F1204" s="28"/>
      <c r="G1204" s="28"/>
      <c r="H1204" s="29"/>
      <c r="I1204" s="10"/>
      <c r="J1204" s="30"/>
      <c r="K1204" s="28"/>
      <c r="L1204" s="29"/>
    </row>
    <row r="1205" spans="1:12" ht="15.75" x14ac:dyDescent="0.25">
      <c r="B1205" s="3" t="s">
        <v>67</v>
      </c>
      <c r="C1205" s="44"/>
      <c r="D1205" s="10"/>
      <c r="E1205" s="45">
        <f>SUM(E1158:E1201)</f>
        <v>27</v>
      </c>
      <c r="F1205" s="46">
        <f>SUM(F1158:F1203)</f>
        <v>1760635.7175</v>
      </c>
      <c r="G1205" s="46">
        <f>SUM(G1158:G1203)</f>
        <v>912045</v>
      </c>
      <c r="H1205" s="47">
        <f>SUM(H1158:H1204)</f>
        <v>2672680.7175000003</v>
      </c>
      <c r="I1205" s="10"/>
      <c r="J1205" s="48">
        <f>SUM(J1158:J1203)</f>
        <v>508760</v>
      </c>
      <c r="K1205" s="46">
        <f>SUM(K1158:K1204)</f>
        <v>1381432</v>
      </c>
      <c r="L1205" s="47">
        <f>SUM(L1158:L1204)</f>
        <v>782490</v>
      </c>
    </row>
    <row r="1206" spans="1:12" x14ac:dyDescent="0.2">
      <c r="B1206" s="49"/>
      <c r="J1206" s="50"/>
      <c r="L1206" s="50"/>
    </row>
    <row r="1207" spans="1:12" x14ac:dyDescent="0.2">
      <c r="B1207" s="49"/>
      <c r="J1207" s="50"/>
      <c r="L1207" s="50"/>
    </row>
    <row r="1208" spans="1:12" x14ac:dyDescent="0.2">
      <c r="A1208" s="37">
        <v>24</v>
      </c>
      <c r="B1208" s="55" t="s">
        <v>68</v>
      </c>
      <c r="C1208" s="8"/>
      <c r="D1208" s="8"/>
      <c r="E1208" s="11"/>
      <c r="L1208" s="10">
        <f>+J1205+K1205+L1205</f>
        <v>2672682</v>
      </c>
    </row>
    <row r="1209" spans="1:12" x14ac:dyDescent="0.2">
      <c r="A1209" s="37">
        <v>25</v>
      </c>
      <c r="B1209" s="55" t="s">
        <v>69</v>
      </c>
      <c r="C1209" s="7"/>
      <c r="D1209" s="7"/>
      <c r="E1209" s="11"/>
      <c r="L1209" s="10">
        <v>1676979</v>
      </c>
    </row>
    <row r="1210" spans="1:12" ht="15.75" x14ac:dyDescent="0.25">
      <c r="A1210" s="37">
        <v>26</v>
      </c>
      <c r="B1210" s="55" t="s">
        <v>182</v>
      </c>
      <c r="C1210" s="7"/>
      <c r="D1210" s="7"/>
      <c r="E1210" s="11"/>
      <c r="J1210" s="10" t="s">
        <v>62</v>
      </c>
      <c r="L1210" s="51">
        <f>+L1208-L1209</f>
        <v>995703</v>
      </c>
    </row>
    <row r="1211" spans="1:12" x14ac:dyDescent="0.2">
      <c r="B1211" s="8"/>
      <c r="C1211" s="7"/>
      <c r="D1211" s="7"/>
      <c r="E1211" s="11"/>
      <c r="J1211" s="10"/>
      <c r="L1211" s="10"/>
    </row>
    <row r="1212" spans="1:12" ht="78.75" x14ac:dyDescent="0.25">
      <c r="B1212" s="8"/>
      <c r="C1212" s="7"/>
      <c r="D1212" s="7"/>
      <c r="E1212" s="11"/>
      <c r="J1212" s="51" t="s">
        <v>71</v>
      </c>
      <c r="K1212" s="52" t="s">
        <v>72</v>
      </c>
      <c r="L1212" s="53" t="s">
        <v>73</v>
      </c>
    </row>
    <row r="1213" spans="1:12" ht="15.75" x14ac:dyDescent="0.25">
      <c r="B1213" s="8" t="s">
        <v>74</v>
      </c>
      <c r="C1213" s="7"/>
      <c r="D1213" s="7"/>
      <c r="E1213" s="11"/>
      <c r="J1213" s="10">
        <f>+J1205+K1205</f>
        <v>1890192</v>
      </c>
      <c r="K1213" s="10">
        <f>+L1209</f>
        <v>1676979</v>
      </c>
      <c r="L1213" s="51">
        <f>+J1213-K1213</f>
        <v>213213</v>
      </c>
    </row>
    <row r="1214" spans="1:12" ht="15.75" x14ac:dyDescent="0.25">
      <c r="B1214" s="54" t="s">
        <v>75</v>
      </c>
      <c r="C1214" s="7"/>
      <c r="D1214" s="7"/>
      <c r="E1214" s="11"/>
      <c r="J1214" s="10">
        <f>+L1205</f>
        <v>782490</v>
      </c>
      <c r="K1214" s="10" t="s">
        <v>62</v>
      </c>
      <c r="L1214" s="51">
        <f>+J1214</f>
        <v>782490</v>
      </c>
    </row>
    <row r="1218" spans="1:12" x14ac:dyDescent="0.2">
      <c r="A1218" s="1" t="s">
        <v>23</v>
      </c>
      <c r="B1218" s="2"/>
    </row>
    <row r="1219" spans="1:12" ht="15.75" x14ac:dyDescent="0.25">
      <c r="A1219" s="56" t="s">
        <v>24</v>
      </c>
      <c r="B1219" s="3"/>
      <c r="C1219" s="56" t="s">
        <v>1</v>
      </c>
    </row>
    <row r="1220" spans="1:12" x14ac:dyDescent="0.2">
      <c r="A1220" s="55" t="s">
        <v>26</v>
      </c>
      <c r="B1220" s="2"/>
    </row>
    <row r="1221" spans="1:12" x14ac:dyDescent="0.2">
      <c r="B1221" s="2"/>
      <c r="C1221" s="4"/>
      <c r="D1221" s="4"/>
    </row>
    <row r="1222" spans="1:12" x14ac:dyDescent="0.2">
      <c r="B1222" s="2"/>
      <c r="C1222" s="5"/>
      <c r="D1222" s="5"/>
    </row>
    <row r="1223" spans="1:12" ht="15.75" x14ac:dyDescent="0.25">
      <c r="A1223" s="55" t="s">
        <v>27</v>
      </c>
      <c r="B1223" s="2"/>
      <c r="C1223" s="6">
        <v>1406</v>
      </c>
      <c r="D1223" s="4"/>
      <c r="E1223" s="7"/>
    </row>
    <row r="1224" spans="1:12" ht="15.75" x14ac:dyDescent="0.25">
      <c r="A1224" s="55" t="s">
        <v>28</v>
      </c>
      <c r="B1224" s="2"/>
      <c r="C1224" s="6">
        <f>C1223*0.06</f>
        <v>84.36</v>
      </c>
      <c r="D1224" s="4"/>
      <c r="E1224" s="7"/>
    </row>
    <row r="1225" spans="1:12" ht="15.75" x14ac:dyDescent="0.25">
      <c r="A1225" s="55" t="s">
        <v>29</v>
      </c>
      <c r="B1225" s="2"/>
      <c r="C1225" s="6">
        <f>C1223/3*0.2</f>
        <v>93.733333333333348</v>
      </c>
      <c r="D1225" s="6"/>
      <c r="E1225" s="7"/>
    </row>
    <row r="1226" spans="1:12" ht="15.75" x14ac:dyDescent="0.25">
      <c r="B1226" s="2" t="s">
        <v>30</v>
      </c>
      <c r="C1226" s="6"/>
      <c r="D1226" s="4"/>
      <c r="E1226" s="7"/>
    </row>
    <row r="1227" spans="1:12" x14ac:dyDescent="0.2">
      <c r="B1227" s="2"/>
    </row>
    <row r="1228" spans="1:12" x14ac:dyDescent="0.2">
      <c r="A1228" s="7" t="s">
        <v>31</v>
      </c>
      <c r="B1228" s="8"/>
      <c r="D1228" s="9"/>
      <c r="F1228" s="9">
        <v>53950</v>
      </c>
      <c r="H1228" s="10"/>
      <c r="I1228" s="10"/>
    </row>
    <row r="1229" spans="1:12" x14ac:dyDescent="0.2">
      <c r="A1229" s="7" t="s">
        <v>32</v>
      </c>
      <c r="B1229" s="8"/>
      <c r="D1229" s="9"/>
      <c r="F1229" s="9">
        <v>59350</v>
      </c>
      <c r="H1229" s="10"/>
      <c r="I1229" s="10"/>
    </row>
    <row r="1230" spans="1:12" x14ac:dyDescent="0.2">
      <c r="A1230" s="7" t="s">
        <v>33</v>
      </c>
      <c r="B1230" s="8"/>
      <c r="D1230" s="9"/>
      <c r="F1230" s="9">
        <v>36150</v>
      </c>
      <c r="H1230" s="10"/>
      <c r="I1230" s="10"/>
    </row>
    <row r="1231" spans="1:12" x14ac:dyDescent="0.2">
      <c r="A1231" s="7"/>
      <c r="B1231" s="8"/>
      <c r="C1231" s="11"/>
      <c r="D1231" s="11"/>
      <c r="H1231" s="10"/>
      <c r="I1231" s="10"/>
    </row>
    <row r="1232" spans="1:12" ht="15.75" x14ac:dyDescent="0.25">
      <c r="B1232" s="2"/>
      <c r="J1232" s="12" t="s">
        <v>34</v>
      </c>
      <c r="K1232" s="412" t="s">
        <v>35</v>
      </c>
      <c r="L1232" s="413"/>
    </row>
    <row r="1233" spans="1:12" ht="31.5" x14ac:dyDescent="0.25">
      <c r="A1233" s="56" t="s">
        <v>36</v>
      </c>
      <c r="B1233" s="13"/>
      <c r="C1233" s="14" t="s">
        <v>37</v>
      </c>
      <c r="D1233" s="15"/>
      <c r="E1233" s="12" t="s">
        <v>38</v>
      </c>
      <c r="F1233" s="12" t="s">
        <v>39</v>
      </c>
      <c r="G1233" s="12" t="s">
        <v>40</v>
      </c>
      <c r="H1233" s="12" t="s">
        <v>0</v>
      </c>
      <c r="I1233" s="16"/>
      <c r="J1233" s="14" t="s">
        <v>41</v>
      </c>
      <c r="K1233" s="17" t="s">
        <v>42</v>
      </c>
      <c r="L1233" s="12" t="s">
        <v>43</v>
      </c>
    </row>
    <row r="1234" spans="1:12" ht="15.75" x14ac:dyDescent="0.25">
      <c r="A1234" s="18"/>
      <c r="B1234" s="13"/>
      <c r="C1234" s="19"/>
      <c r="D1234" s="15"/>
      <c r="E1234" s="20"/>
      <c r="F1234" s="21"/>
      <c r="G1234" s="21"/>
      <c r="H1234" s="22"/>
      <c r="I1234" s="16"/>
      <c r="J1234" s="23"/>
      <c r="K1234" s="24"/>
      <c r="L1234" s="25"/>
    </row>
    <row r="1235" spans="1:12" x14ac:dyDescent="0.2">
      <c r="A1235" s="55">
        <v>1</v>
      </c>
      <c r="B1235" s="2" t="s">
        <v>44</v>
      </c>
      <c r="C1235" s="26">
        <v>50000</v>
      </c>
      <c r="D1235" s="10"/>
      <c r="E1235" s="27"/>
      <c r="F1235" s="28"/>
      <c r="G1235" s="28">
        <f>+C1235</f>
        <v>50000</v>
      </c>
      <c r="H1235" s="29">
        <f>SUM(F1235+G1235)</f>
        <v>50000</v>
      </c>
      <c r="I1235" s="10"/>
      <c r="J1235" s="30">
        <f>+H1235</f>
        <v>50000</v>
      </c>
      <c r="K1235" s="28"/>
      <c r="L1235" s="29"/>
    </row>
    <row r="1236" spans="1:12" x14ac:dyDescent="0.2">
      <c r="B1236" s="2"/>
      <c r="C1236" s="26"/>
      <c r="D1236" s="10"/>
      <c r="E1236" s="27"/>
      <c r="F1236" s="28"/>
      <c r="G1236" s="28"/>
      <c r="H1236" s="29"/>
      <c r="I1236" s="10"/>
      <c r="J1236" s="30"/>
      <c r="K1236" s="28"/>
      <c r="L1236" s="29"/>
    </row>
    <row r="1237" spans="1:12" x14ac:dyDescent="0.2">
      <c r="A1237" s="55">
        <v>2</v>
      </c>
      <c r="B1237" s="2" t="s">
        <v>45</v>
      </c>
      <c r="C1237" s="26">
        <v>77000</v>
      </c>
      <c r="D1237" s="10"/>
      <c r="E1237" s="27">
        <v>1</v>
      </c>
      <c r="F1237" s="28">
        <f>+C1237*E1237</f>
        <v>77000</v>
      </c>
      <c r="G1237" s="28"/>
      <c r="H1237" s="29">
        <f>SUM(F1237+G1237)</f>
        <v>77000</v>
      </c>
      <c r="I1237" s="10"/>
      <c r="J1237" s="30">
        <f>+H1237</f>
        <v>77000</v>
      </c>
      <c r="K1237" s="28"/>
      <c r="L1237" s="29"/>
    </row>
    <row r="1238" spans="1:12" x14ac:dyDescent="0.2">
      <c r="B1238" s="2"/>
      <c r="C1238" s="26"/>
      <c r="D1238" s="10"/>
      <c r="E1238" s="27"/>
      <c r="F1238" s="28"/>
      <c r="G1238" s="28"/>
      <c r="H1238" s="29"/>
      <c r="I1238" s="10"/>
      <c r="J1238" s="30"/>
      <c r="K1238" s="28"/>
      <c r="L1238" s="29"/>
    </row>
    <row r="1239" spans="1:12" ht="30" x14ac:dyDescent="0.2">
      <c r="A1239" s="55">
        <v>3</v>
      </c>
      <c r="B1239" s="2" t="s">
        <v>81</v>
      </c>
      <c r="C1239" s="26">
        <f>+F1229</f>
        <v>59350</v>
      </c>
      <c r="D1239" s="10"/>
      <c r="E1239" s="27">
        <v>1</v>
      </c>
      <c r="F1239" s="28">
        <f>+C1239*E1239</f>
        <v>59350</v>
      </c>
      <c r="G1239" s="28"/>
      <c r="H1239" s="29">
        <f>SUM(F1239+G1239)</f>
        <v>59350</v>
      </c>
      <c r="I1239" s="10"/>
      <c r="J1239" s="30">
        <f>+H1239</f>
        <v>59350</v>
      </c>
      <c r="K1239" s="28"/>
      <c r="L1239" s="29"/>
    </row>
    <row r="1240" spans="1:12" x14ac:dyDescent="0.2">
      <c r="B1240" s="2"/>
      <c r="C1240" s="26"/>
      <c r="D1240" s="10"/>
      <c r="E1240" s="27"/>
      <c r="F1240" s="28"/>
      <c r="G1240" s="28"/>
      <c r="H1240" s="29"/>
      <c r="I1240" s="10"/>
      <c r="J1240" s="30"/>
      <c r="K1240" s="28"/>
      <c r="L1240" s="29"/>
    </row>
    <row r="1241" spans="1:12" x14ac:dyDescent="0.2">
      <c r="A1241" s="55">
        <v>4</v>
      </c>
      <c r="B1241" s="2" t="s">
        <v>46</v>
      </c>
      <c r="C1241" s="26">
        <v>39300</v>
      </c>
      <c r="D1241" s="10"/>
      <c r="E1241" s="27">
        <v>1</v>
      </c>
      <c r="F1241" s="28">
        <f>+C1241*E1241</f>
        <v>39300</v>
      </c>
      <c r="G1241" s="28"/>
      <c r="H1241" s="29">
        <f>SUM(F1241+G1241)</f>
        <v>39300</v>
      </c>
      <c r="I1241" s="10"/>
      <c r="J1241" s="30">
        <f>+H1241</f>
        <v>39300</v>
      </c>
      <c r="K1241" s="28"/>
      <c r="L1241" s="29"/>
    </row>
    <row r="1242" spans="1:12" x14ac:dyDescent="0.2">
      <c r="B1242" s="2"/>
      <c r="C1242" s="26"/>
      <c r="D1242" s="10"/>
      <c r="E1242" s="27"/>
      <c r="F1242" s="28"/>
      <c r="G1242" s="28"/>
      <c r="H1242" s="29"/>
      <c r="I1242" s="10"/>
      <c r="J1242" s="30"/>
      <c r="K1242" s="28"/>
      <c r="L1242" s="29"/>
    </row>
    <row r="1243" spans="1:12" x14ac:dyDescent="0.2">
      <c r="A1243" s="55">
        <v>5</v>
      </c>
      <c r="B1243" s="2" t="s">
        <v>47</v>
      </c>
      <c r="C1243" s="26">
        <v>36000</v>
      </c>
      <c r="D1243" s="10"/>
      <c r="E1243" s="27">
        <v>1</v>
      </c>
      <c r="F1243" s="28">
        <f>+C1243*E1243</f>
        <v>36000</v>
      </c>
      <c r="G1243" s="28"/>
      <c r="H1243" s="29">
        <f>SUM(F1243+G1243)</f>
        <v>36000</v>
      </c>
      <c r="I1243" s="10"/>
      <c r="J1243" s="30">
        <f>+H1243</f>
        <v>36000</v>
      </c>
      <c r="K1243" s="28"/>
      <c r="L1243" s="29"/>
    </row>
    <row r="1244" spans="1:12" x14ac:dyDescent="0.2">
      <c r="B1244" s="2"/>
      <c r="C1244" s="26"/>
      <c r="D1244" s="10"/>
      <c r="E1244" s="27"/>
      <c r="F1244" s="28"/>
      <c r="G1244" s="28"/>
      <c r="H1244" s="29"/>
      <c r="I1244" s="10"/>
      <c r="J1244" s="30"/>
      <c r="K1244" s="28"/>
      <c r="L1244" s="29"/>
    </row>
    <row r="1245" spans="1:12" x14ac:dyDescent="0.2">
      <c r="A1245" s="55">
        <v>6</v>
      </c>
      <c r="B1245" s="2" t="s">
        <v>48</v>
      </c>
      <c r="C1245" s="26">
        <v>51000</v>
      </c>
      <c r="D1245" s="10"/>
      <c r="E1245" s="27">
        <v>1</v>
      </c>
      <c r="F1245" s="28">
        <f>+C1245*E1245</f>
        <v>51000</v>
      </c>
      <c r="G1245" s="28"/>
      <c r="H1245" s="29">
        <f>SUM(F1245+G1245)</f>
        <v>51000</v>
      </c>
      <c r="I1245" s="10"/>
      <c r="J1245" s="30">
        <f>+H1245</f>
        <v>51000</v>
      </c>
      <c r="K1245" s="28"/>
      <c r="L1245" s="29"/>
    </row>
    <row r="1246" spans="1:12" x14ac:dyDescent="0.2">
      <c r="B1246" s="2"/>
      <c r="C1246" s="26"/>
      <c r="D1246" s="10"/>
      <c r="E1246" s="27"/>
      <c r="F1246" s="28"/>
      <c r="G1246" s="28"/>
      <c r="H1246" s="29"/>
      <c r="I1246" s="10"/>
      <c r="J1246" s="30"/>
      <c r="K1246" s="28"/>
      <c r="L1246" s="29"/>
    </row>
    <row r="1247" spans="1:12" x14ac:dyDescent="0.2">
      <c r="A1247" s="55">
        <v>7</v>
      </c>
      <c r="B1247" s="2" t="s">
        <v>49</v>
      </c>
      <c r="C1247" s="31">
        <v>0</v>
      </c>
      <c r="D1247" s="10"/>
      <c r="E1247" s="27"/>
      <c r="F1247" s="28"/>
      <c r="G1247" s="32">
        <v>0</v>
      </c>
      <c r="H1247" s="33">
        <v>0</v>
      </c>
      <c r="I1247" s="10"/>
      <c r="J1247" s="34">
        <f>+H1247</f>
        <v>0</v>
      </c>
      <c r="K1247" s="32">
        <v>0</v>
      </c>
      <c r="L1247" s="33">
        <v>0</v>
      </c>
    </row>
    <row r="1248" spans="1:12" x14ac:dyDescent="0.2">
      <c r="B1248" s="2"/>
      <c r="C1248" s="26"/>
      <c r="D1248" s="10"/>
      <c r="E1248" s="27"/>
      <c r="F1248" s="28"/>
      <c r="G1248" s="28"/>
      <c r="H1248" s="29"/>
      <c r="I1248" s="10"/>
      <c r="J1248" s="30"/>
      <c r="K1248" s="28"/>
      <c r="L1248" s="29"/>
    </row>
    <row r="1249" spans="1:12" x14ac:dyDescent="0.2">
      <c r="A1249" s="55">
        <v>8</v>
      </c>
      <c r="B1249" s="2" t="s">
        <v>50</v>
      </c>
      <c r="C1249" s="26">
        <v>13000</v>
      </c>
      <c r="D1249" s="10"/>
      <c r="E1249" s="27"/>
      <c r="F1249" s="28"/>
      <c r="G1249" s="28">
        <f>+C1249</f>
        <v>13000</v>
      </c>
      <c r="H1249" s="29">
        <f>SUM(F1249+G1249)</f>
        <v>13000</v>
      </c>
      <c r="I1249" s="10"/>
      <c r="J1249" s="30">
        <f>+H1249</f>
        <v>13000</v>
      </c>
      <c r="K1249" s="28"/>
      <c r="L1249" s="29"/>
    </row>
    <row r="1250" spans="1:12" x14ac:dyDescent="0.2">
      <c r="B1250" s="2"/>
      <c r="C1250" s="26"/>
      <c r="D1250" s="10"/>
      <c r="E1250" s="27"/>
      <c r="F1250" s="28"/>
      <c r="G1250" s="28"/>
      <c r="H1250" s="29"/>
      <c r="I1250" s="10"/>
      <c r="J1250" s="30"/>
      <c r="K1250" s="28"/>
      <c r="L1250" s="29"/>
    </row>
    <row r="1251" spans="1:12" x14ac:dyDescent="0.2">
      <c r="A1251" s="55">
        <v>9</v>
      </c>
      <c r="B1251" s="2" t="s">
        <v>51</v>
      </c>
      <c r="C1251" s="26">
        <v>30000</v>
      </c>
      <c r="D1251" s="10"/>
      <c r="E1251" s="27"/>
      <c r="F1251" s="28"/>
      <c r="G1251" s="28">
        <f>+C1251</f>
        <v>30000</v>
      </c>
      <c r="H1251" s="29">
        <f>SUM(F1251+G1251)</f>
        <v>30000</v>
      </c>
      <c r="I1251" s="10"/>
      <c r="J1251" s="30">
        <f>+H1251</f>
        <v>30000</v>
      </c>
      <c r="K1251" s="28"/>
      <c r="L1251" s="29"/>
    </row>
    <row r="1252" spans="1:12" x14ac:dyDescent="0.2">
      <c r="B1252" s="2"/>
      <c r="C1252" s="26"/>
      <c r="D1252" s="10"/>
      <c r="E1252" s="27"/>
      <c r="F1252" s="28"/>
      <c r="G1252" s="28"/>
      <c r="H1252" s="29"/>
      <c r="I1252" s="10"/>
      <c r="J1252" s="30"/>
      <c r="K1252" s="28"/>
      <c r="L1252" s="29"/>
    </row>
    <row r="1253" spans="1:12" x14ac:dyDescent="0.2">
      <c r="A1253" s="55">
        <v>10</v>
      </c>
      <c r="B1253" s="2" t="s">
        <v>52</v>
      </c>
      <c r="C1253" s="26">
        <v>40000</v>
      </c>
      <c r="D1253" s="10"/>
      <c r="E1253" s="27"/>
      <c r="F1253" s="28"/>
      <c r="G1253" s="28">
        <f>+C1253</f>
        <v>40000</v>
      </c>
      <c r="H1253" s="29">
        <f>SUM(F1253+G1253)</f>
        <v>40000</v>
      </c>
      <c r="I1253" s="10"/>
      <c r="J1253" s="30">
        <f>+H1253</f>
        <v>40000</v>
      </c>
      <c r="K1253" s="28"/>
      <c r="L1253" s="29"/>
    </row>
    <row r="1254" spans="1:12" x14ac:dyDescent="0.2">
      <c r="B1254" s="2"/>
      <c r="C1254" s="26"/>
      <c r="D1254" s="10"/>
      <c r="E1254" s="27"/>
      <c r="F1254" s="28"/>
      <c r="G1254" s="28"/>
      <c r="H1254" s="29"/>
      <c r="I1254" s="10"/>
      <c r="J1254" s="30"/>
      <c r="K1254" s="28"/>
      <c r="L1254" s="29"/>
    </row>
    <row r="1255" spans="1:12" ht="30" x14ac:dyDescent="0.2">
      <c r="A1255" s="55">
        <v>11</v>
      </c>
      <c r="B1255" s="2" t="s">
        <v>53</v>
      </c>
      <c r="C1255" s="26"/>
      <c r="D1255" s="10"/>
      <c r="E1255" s="27"/>
      <c r="F1255" s="28"/>
      <c r="G1255" s="28">
        <f>ROUND((F1237+F1239+F1241+F1243+F1245+F1257+F1261+F1263+F1265+F1268+F1270+F1272+F1274)*0.15,0)</f>
        <v>233391</v>
      </c>
      <c r="H1255" s="60">
        <f>SUM(F1255+G1255)</f>
        <v>233391</v>
      </c>
      <c r="I1255" s="10"/>
      <c r="J1255" s="30">
        <f>ROUND((SUM(F1237:F1245)*0.15),0)</f>
        <v>39398</v>
      </c>
      <c r="K1255" s="32">
        <f>ROUND(SUM(F1257:F1272)*0.15,0)</f>
        <v>153531</v>
      </c>
      <c r="L1255" s="33">
        <f>ROUND(F1274*0.15,0)</f>
        <v>40463</v>
      </c>
    </row>
    <row r="1256" spans="1:12" x14ac:dyDescent="0.2">
      <c r="B1256" s="2"/>
      <c r="C1256" s="26"/>
      <c r="D1256" s="10"/>
      <c r="E1256" s="27"/>
      <c r="F1256" s="28"/>
      <c r="G1256" s="28"/>
      <c r="H1256" s="29"/>
      <c r="I1256" s="10"/>
      <c r="J1256" s="30"/>
      <c r="K1256" s="32"/>
      <c r="L1256" s="33"/>
    </row>
    <row r="1257" spans="1:12" x14ac:dyDescent="0.2">
      <c r="A1257" s="55">
        <v>12</v>
      </c>
      <c r="B1257" s="2" t="s">
        <v>54</v>
      </c>
      <c r="C1257" s="26"/>
      <c r="D1257" s="10"/>
      <c r="E1257" s="27"/>
      <c r="F1257" s="28">
        <f>(F1237+F1239+F1241+F1243+F1245+F1261+F1263+F1265+F1268+F1270+F1272+F1274)*0.2045</f>
        <v>264167.47625000001</v>
      </c>
      <c r="G1257" s="28"/>
      <c r="H1257" s="29">
        <f>(+H1237+H1239+H1241+H1243+H1245+H1261+H1263+H1265+H1268+H1270+H1272+H1274)*0.2045</f>
        <v>264167.47625000001</v>
      </c>
      <c r="I1257" s="10"/>
      <c r="J1257" s="30">
        <f>ROUND((SUM(F1237:F1245)*0.2045),0)</f>
        <v>53712</v>
      </c>
      <c r="K1257" s="32">
        <f>ROUND((SUM(F1261:F1272)*0.2045),0)</f>
        <v>155292</v>
      </c>
      <c r="L1257" s="33">
        <f>ROUND(F1274*0.2045,0)</f>
        <v>55164</v>
      </c>
    </row>
    <row r="1258" spans="1:12" x14ac:dyDescent="0.2">
      <c r="B1258" s="2"/>
      <c r="C1258" s="26"/>
      <c r="D1258" s="10"/>
      <c r="E1258" s="27"/>
      <c r="F1258" s="28"/>
      <c r="G1258" s="28"/>
      <c r="H1258" s="29"/>
      <c r="I1258" s="10"/>
      <c r="J1258" s="30"/>
      <c r="K1258" s="32"/>
      <c r="L1258" s="33"/>
    </row>
    <row r="1259" spans="1:12" x14ac:dyDescent="0.2">
      <c r="A1259" s="55">
        <v>13</v>
      </c>
      <c r="B1259" s="2" t="s">
        <v>55</v>
      </c>
      <c r="C1259" s="26">
        <v>2000</v>
      </c>
      <c r="D1259" s="10"/>
      <c r="E1259" s="27"/>
      <c r="F1259" s="28"/>
      <c r="G1259" s="28">
        <f>E1282*2000</f>
        <v>48000</v>
      </c>
      <c r="H1259" s="29">
        <f>SUM(F1259:G1259)</f>
        <v>48000</v>
      </c>
      <c r="I1259" s="10"/>
      <c r="J1259" s="30">
        <f>(E1237+E1239+E1241+E1243+E1245)*2000</f>
        <v>10000</v>
      </c>
      <c r="K1259" s="32">
        <f>ROUND(SUM(E1263:E1272)*2000,0)</f>
        <v>28000</v>
      </c>
      <c r="L1259" s="33">
        <f>ROUND(E1274*2000,0)</f>
        <v>10000</v>
      </c>
    </row>
    <row r="1260" spans="1:12" x14ac:dyDescent="0.2">
      <c r="B1260" s="2"/>
      <c r="C1260" s="26"/>
      <c r="D1260" s="10"/>
      <c r="E1260" s="27"/>
      <c r="F1260" s="28"/>
      <c r="G1260" s="28"/>
      <c r="H1260" s="29"/>
      <c r="I1260" s="10"/>
      <c r="J1260" s="30"/>
      <c r="K1260" s="32"/>
      <c r="L1260" s="33"/>
    </row>
    <row r="1261" spans="1:12" ht="30" x14ac:dyDescent="0.2">
      <c r="A1261" s="55">
        <v>14</v>
      </c>
      <c r="B1261" s="2" t="s">
        <v>56</v>
      </c>
      <c r="C1261" s="26"/>
      <c r="D1261" s="10"/>
      <c r="E1261" s="27"/>
      <c r="F1261" s="28">
        <f>(F1268+F1272+F1274+F1263)*0.05</f>
        <v>41272.5</v>
      </c>
      <c r="G1261" s="28"/>
      <c r="H1261" s="29">
        <f>SUM(F1261:G1261)</f>
        <v>41272.5</v>
      </c>
      <c r="I1261" s="10"/>
      <c r="J1261" s="30"/>
      <c r="K1261" s="32">
        <f>ROUND((+F1263+F1268+F1272)*0.05,0)</f>
        <v>27785</v>
      </c>
      <c r="L1261" s="33">
        <f>ROUND(F1274*0.05,0)</f>
        <v>13488</v>
      </c>
    </row>
    <row r="1262" spans="1:12" x14ac:dyDescent="0.2">
      <c r="B1262" s="2"/>
      <c r="C1262" s="26"/>
      <c r="D1262" s="10"/>
      <c r="E1262" s="27"/>
      <c r="F1262" s="28"/>
      <c r="G1262" s="28"/>
      <c r="H1262" s="29"/>
      <c r="I1262" s="10"/>
      <c r="J1262" s="30"/>
      <c r="K1262" s="28"/>
      <c r="L1262" s="29"/>
    </row>
    <row r="1263" spans="1:12" x14ac:dyDescent="0.2">
      <c r="A1263" s="55">
        <v>15</v>
      </c>
      <c r="B1263" s="2" t="s">
        <v>57</v>
      </c>
      <c r="C1263" s="26">
        <f>+F1229</f>
        <v>59350</v>
      </c>
      <c r="D1263" s="10"/>
      <c r="E1263" s="27">
        <f>ROUND((E1274+E1272+E1270+E1268+E1265)/6,0)</f>
        <v>3</v>
      </c>
      <c r="F1263" s="28">
        <f>F1229*E1263</f>
        <v>178050</v>
      </c>
      <c r="G1263" s="28"/>
      <c r="H1263" s="29">
        <f>SUM(F1263:G1263)</f>
        <v>178050</v>
      </c>
      <c r="I1263" s="10"/>
      <c r="J1263" s="27"/>
      <c r="K1263" s="32">
        <f>ROUND(F1263*((+E$49+E$51+E$53)/(E$49+E$51+E$53+E$55)),0)</f>
        <v>112157</v>
      </c>
      <c r="L1263" s="33">
        <f>ROUND((+F1263*(E$55/(+E$49+E$51+E$53+E$55))),0)</f>
        <v>65893</v>
      </c>
    </row>
    <row r="1264" spans="1:12" x14ac:dyDescent="0.2">
      <c r="B1264" s="2"/>
      <c r="C1264" s="26"/>
      <c r="D1264" s="10"/>
      <c r="E1264" s="27"/>
      <c r="F1264" s="28"/>
      <c r="G1264" s="28"/>
      <c r="H1264" s="29"/>
      <c r="I1264" s="10"/>
      <c r="J1264" s="30"/>
      <c r="K1264" s="28"/>
      <c r="L1264" s="29"/>
    </row>
    <row r="1265" spans="1:12" x14ac:dyDescent="0.2">
      <c r="A1265" s="55">
        <v>16</v>
      </c>
      <c r="B1265" s="2" t="s">
        <v>58</v>
      </c>
      <c r="C1265" s="26">
        <f>+F1230</f>
        <v>36150</v>
      </c>
      <c r="D1265" s="10"/>
      <c r="E1265" s="27">
        <f>ROUND((E1274+E1272+E1270+E1268)/5,0)</f>
        <v>3</v>
      </c>
      <c r="F1265" s="28">
        <f>F1230*E1265</f>
        <v>108450</v>
      </c>
      <c r="G1265" s="28"/>
      <c r="H1265" s="29">
        <f>SUM(F1265:G1265)</f>
        <v>108450</v>
      </c>
      <c r="I1265" s="10"/>
      <c r="J1265" s="30"/>
      <c r="K1265" s="32">
        <f>ROUND(F1265*((+E$49+E$51+E$53)/(E$49+E$51+E$53+E$55)),0)</f>
        <v>68315</v>
      </c>
      <c r="L1265" s="33">
        <f>ROUND((+F1265*(E$55/(+E$49+E$51+E$53+E$55))),0)</f>
        <v>40135</v>
      </c>
    </row>
    <row r="1266" spans="1:12" x14ac:dyDescent="0.2">
      <c r="B1266" s="2"/>
      <c r="C1266" s="26"/>
      <c r="D1266" s="10"/>
      <c r="E1266" s="27"/>
      <c r="F1266" s="28"/>
      <c r="G1266" s="28"/>
      <c r="H1266" s="29"/>
      <c r="I1266" s="10"/>
      <c r="J1266" s="30"/>
      <c r="K1266" s="28"/>
      <c r="L1266" s="29"/>
    </row>
    <row r="1267" spans="1:12" ht="15.75" x14ac:dyDescent="0.25">
      <c r="A1267" s="18" t="s">
        <v>59</v>
      </c>
      <c r="B1267" s="2"/>
      <c r="C1267" s="26"/>
      <c r="D1267" s="10"/>
      <c r="E1267" s="27"/>
      <c r="F1267" s="28"/>
      <c r="G1267" s="28"/>
      <c r="H1267" s="29"/>
      <c r="I1267" s="10"/>
      <c r="J1267" s="30"/>
      <c r="K1267" s="28"/>
      <c r="L1267" s="29"/>
    </row>
    <row r="1268" spans="1:12" x14ac:dyDescent="0.2">
      <c r="A1268" s="36">
        <v>17</v>
      </c>
      <c r="B1268" s="37" t="s">
        <v>60</v>
      </c>
      <c r="C1268" s="38">
        <f>+F1228</f>
        <v>53950</v>
      </c>
      <c r="D1268" s="39"/>
      <c r="E1268" s="40">
        <f>ROUND(C1224/30,0)</f>
        <v>3</v>
      </c>
      <c r="F1268" s="41">
        <f>F1228*E1268</f>
        <v>161850</v>
      </c>
      <c r="G1268" s="41"/>
      <c r="H1268" s="35">
        <f>SUM(F1268:G1268)</f>
        <v>161850</v>
      </c>
      <c r="I1268" s="39"/>
      <c r="J1268" s="42"/>
      <c r="K1268" s="28">
        <f>F1228*E1268</f>
        <v>161850</v>
      </c>
      <c r="L1268" s="29"/>
    </row>
    <row r="1269" spans="1:12" x14ac:dyDescent="0.2">
      <c r="A1269" s="37"/>
      <c r="B1269" s="37"/>
      <c r="C1269" s="26"/>
      <c r="D1269" s="10"/>
      <c r="E1269" s="27"/>
      <c r="F1269" s="28"/>
      <c r="G1269" s="28"/>
      <c r="H1269" s="29"/>
      <c r="I1269" s="10"/>
      <c r="J1269" s="30"/>
      <c r="K1269" s="28"/>
      <c r="L1269" s="29"/>
    </row>
    <row r="1270" spans="1:12" ht="30" x14ac:dyDescent="0.2">
      <c r="A1270" s="36">
        <v>18</v>
      </c>
      <c r="B1270" s="37" t="s">
        <v>61</v>
      </c>
      <c r="C1270" s="26">
        <f>+F1228</f>
        <v>53950</v>
      </c>
      <c r="D1270" s="10"/>
      <c r="E1270" s="27">
        <v>1</v>
      </c>
      <c r="F1270" s="28">
        <f>F1228*E1270</f>
        <v>53950</v>
      </c>
      <c r="G1270" s="28"/>
      <c r="H1270" s="29">
        <f>SUM(F1270:G1270)</f>
        <v>53950</v>
      </c>
      <c r="I1270" s="10"/>
      <c r="J1270" s="30" t="s">
        <v>62</v>
      </c>
      <c r="K1270" s="28">
        <f>ROUND(E1270*F1228,0)</f>
        <v>53950</v>
      </c>
      <c r="L1270" s="29"/>
    </row>
    <row r="1271" spans="1:12" x14ac:dyDescent="0.2">
      <c r="A1271" s="37"/>
      <c r="B1271" s="37"/>
      <c r="C1271" s="26"/>
      <c r="D1271" s="10"/>
      <c r="E1271" s="27"/>
      <c r="F1271" s="28"/>
      <c r="G1271" s="28"/>
      <c r="H1271" s="29"/>
      <c r="I1271" s="10"/>
      <c r="J1271" s="30"/>
      <c r="K1271" s="28"/>
      <c r="L1271" s="29"/>
    </row>
    <row r="1272" spans="1:12" x14ac:dyDescent="0.2">
      <c r="A1272" s="37">
        <v>19</v>
      </c>
      <c r="B1272" s="37" t="s">
        <v>63</v>
      </c>
      <c r="C1272" s="26">
        <f>+F1228</f>
        <v>53950</v>
      </c>
      <c r="D1272" s="10"/>
      <c r="E1272" s="27">
        <f>ROUND(C1224/20,0)</f>
        <v>4</v>
      </c>
      <c r="F1272" s="28">
        <f>F1228*E1272</f>
        <v>215800</v>
      </c>
      <c r="G1272" s="28"/>
      <c r="H1272" s="29">
        <f>SUM(F1272:G1272)</f>
        <v>215800</v>
      </c>
      <c r="I1272" s="10"/>
      <c r="J1272" s="30"/>
      <c r="K1272" s="28">
        <f>F1228*E1272</f>
        <v>215800</v>
      </c>
      <c r="L1272" s="29"/>
    </row>
    <row r="1273" spans="1:12" x14ac:dyDescent="0.2">
      <c r="A1273" s="37"/>
      <c r="B1273" s="37"/>
      <c r="C1273" s="26"/>
      <c r="D1273" s="10"/>
      <c r="E1273" s="27"/>
      <c r="F1273" s="28"/>
      <c r="G1273" s="28"/>
      <c r="H1273" s="29"/>
      <c r="I1273" s="10"/>
      <c r="J1273" s="30"/>
      <c r="K1273" s="28"/>
      <c r="L1273" s="29"/>
    </row>
    <row r="1274" spans="1:12" x14ac:dyDescent="0.2">
      <c r="A1274" s="37">
        <v>20</v>
      </c>
      <c r="B1274" s="37" t="s">
        <v>64</v>
      </c>
      <c r="C1274" s="26">
        <f>+F1228</f>
        <v>53950</v>
      </c>
      <c r="D1274" s="10"/>
      <c r="E1274" s="27">
        <f>ROUND(C1225/20,0)</f>
        <v>5</v>
      </c>
      <c r="F1274" s="28">
        <f>F1228*E1274</f>
        <v>269750</v>
      </c>
      <c r="G1274" s="28"/>
      <c r="H1274" s="29">
        <f>SUM(F1274:G1274)</f>
        <v>269750</v>
      </c>
      <c r="I1274" s="10"/>
      <c r="J1274" s="30"/>
      <c r="K1274" s="28"/>
      <c r="L1274" s="29">
        <f>F1228*E1274</f>
        <v>269750</v>
      </c>
    </row>
    <row r="1275" spans="1:12" x14ac:dyDescent="0.2">
      <c r="A1275" s="37"/>
      <c r="B1275" s="37"/>
      <c r="C1275" s="26"/>
      <c r="D1275" s="10"/>
      <c r="E1275" s="27"/>
      <c r="F1275" s="28"/>
      <c r="G1275" s="28"/>
      <c r="H1275" s="29"/>
      <c r="I1275" s="10"/>
      <c r="J1275" s="30"/>
      <c r="K1275" s="28"/>
      <c r="L1275" s="29"/>
    </row>
    <row r="1276" spans="1:12" x14ac:dyDescent="0.2">
      <c r="A1276" s="37">
        <v>21</v>
      </c>
      <c r="B1276" s="37" t="s">
        <v>65</v>
      </c>
      <c r="C1276" s="31"/>
      <c r="D1276" s="43"/>
      <c r="E1276" s="27"/>
      <c r="F1276" s="28"/>
      <c r="G1276" s="28">
        <f>ROUND(125*C1223,0)</f>
        <v>175750</v>
      </c>
      <c r="H1276" s="29">
        <f>SUM(F1276:G1276)</f>
        <v>175750</v>
      </c>
      <c r="I1276" s="10"/>
      <c r="J1276" s="30" t="s">
        <v>62</v>
      </c>
      <c r="K1276" s="29">
        <f>ROUND(125/2*C1223,0)</f>
        <v>87875</v>
      </c>
      <c r="L1276" s="29">
        <f>ROUND(125/2*C1223,0)</f>
        <v>87875</v>
      </c>
    </row>
    <row r="1277" spans="1:12" x14ac:dyDescent="0.2">
      <c r="A1277" s="37"/>
      <c r="B1277" s="37"/>
      <c r="C1277" s="26"/>
      <c r="D1277" s="10"/>
      <c r="E1277" s="27"/>
      <c r="F1277" s="28"/>
      <c r="G1277" s="28"/>
      <c r="H1277" s="29"/>
      <c r="I1277" s="10"/>
      <c r="J1277" s="30"/>
      <c r="K1277" s="28"/>
      <c r="L1277" s="29"/>
    </row>
    <row r="1278" spans="1:12" x14ac:dyDescent="0.2">
      <c r="A1278" s="37">
        <v>22</v>
      </c>
      <c r="B1278" s="37" t="s">
        <v>66</v>
      </c>
      <c r="C1278" s="26">
        <v>10000</v>
      </c>
      <c r="D1278" s="10"/>
      <c r="E1278" s="27"/>
      <c r="F1278" s="28"/>
      <c r="G1278" s="28">
        <f>((E1237+E1263+E1268+E1270+E1272+E1274)*10000)</f>
        <v>170000</v>
      </c>
      <c r="H1278" s="29">
        <f>SUM(F1278:G1278)</f>
        <v>170000</v>
      </c>
      <c r="I1278" s="10"/>
      <c r="J1278" s="30">
        <f>ROUND(10000*E1237,0)</f>
        <v>10000</v>
      </c>
      <c r="K1278" s="32">
        <f>(ROUND(10000*(+E1272+E1270+E1268+E1263),0))</f>
        <v>110000</v>
      </c>
      <c r="L1278" s="33">
        <f>ROUND(10000*E1274,0)</f>
        <v>50000</v>
      </c>
    </row>
    <row r="1279" spans="1:12" x14ac:dyDescent="0.2">
      <c r="A1279" s="37"/>
      <c r="B1279" s="37"/>
      <c r="C1279" s="26"/>
      <c r="D1279" s="10"/>
      <c r="E1279" s="27"/>
      <c r="F1279" s="28"/>
      <c r="G1279" s="28"/>
      <c r="H1279" s="29"/>
      <c r="I1279" s="10"/>
      <c r="J1279" s="30"/>
      <c r="K1279" s="32"/>
      <c r="L1279" s="33"/>
    </row>
    <row r="1280" spans="1:12" x14ac:dyDescent="0.2">
      <c r="A1280" s="37">
        <v>23</v>
      </c>
      <c r="B1280" s="37" t="s">
        <v>82</v>
      </c>
      <c r="C1280" s="26"/>
      <c r="D1280" s="10"/>
      <c r="E1280" s="27"/>
      <c r="F1280" s="28"/>
      <c r="G1280" s="28">
        <v>34600</v>
      </c>
      <c r="H1280" s="29">
        <f>+G1280</f>
        <v>34600</v>
      </c>
      <c r="I1280" s="10"/>
      <c r="J1280" s="30"/>
      <c r="K1280" s="32"/>
      <c r="L1280" s="33">
        <f>+H1280</f>
        <v>34600</v>
      </c>
    </row>
    <row r="1281" spans="1:12" x14ac:dyDescent="0.2">
      <c r="B1281" s="2"/>
      <c r="C1281" s="26"/>
      <c r="D1281" s="10"/>
      <c r="E1281" s="27"/>
      <c r="F1281" s="28"/>
      <c r="G1281" s="28"/>
      <c r="H1281" s="29"/>
      <c r="I1281" s="10"/>
      <c r="J1281" s="30"/>
      <c r="K1281" s="28"/>
      <c r="L1281" s="29"/>
    </row>
    <row r="1282" spans="1:12" ht="15.75" x14ac:dyDescent="0.25">
      <c r="B1282" s="3" t="s">
        <v>67</v>
      </c>
      <c r="C1282" s="44"/>
      <c r="D1282" s="10"/>
      <c r="E1282" s="45">
        <f>SUM(E1235:E1278)</f>
        <v>24</v>
      </c>
      <c r="F1282" s="46">
        <f>SUM(F1235:F1280)</f>
        <v>1555939.9762500001</v>
      </c>
      <c r="G1282" s="46">
        <f>SUM(G1235:G1280)</f>
        <v>794741</v>
      </c>
      <c r="H1282" s="47">
        <f>SUM(H1235:H1281)</f>
        <v>2350680.9762500003</v>
      </c>
      <c r="I1282" s="10"/>
      <c r="J1282" s="48">
        <f>SUM(J1235:J1280)</f>
        <v>508760</v>
      </c>
      <c r="K1282" s="46">
        <f>SUM(K1235:K1281)</f>
        <v>1174555</v>
      </c>
      <c r="L1282" s="47">
        <f>SUM(L1235:L1281)</f>
        <v>667368</v>
      </c>
    </row>
    <row r="1283" spans="1:12" x14ac:dyDescent="0.2">
      <c r="B1283" s="49"/>
      <c r="J1283" s="50"/>
      <c r="L1283" s="50"/>
    </row>
    <row r="1284" spans="1:12" x14ac:dyDescent="0.2">
      <c r="B1284" s="49"/>
      <c r="J1284" s="50"/>
      <c r="L1284" s="50"/>
    </row>
    <row r="1285" spans="1:12" x14ac:dyDescent="0.2">
      <c r="A1285" s="37">
        <v>24</v>
      </c>
      <c r="B1285" s="55" t="s">
        <v>68</v>
      </c>
      <c r="C1285" s="8"/>
      <c r="D1285" s="8"/>
      <c r="E1285" s="11"/>
      <c r="L1285" s="10">
        <f>+J1282+K1282+L1282</f>
        <v>2350683</v>
      </c>
    </row>
    <row r="1286" spans="1:12" x14ac:dyDescent="0.2">
      <c r="A1286" s="37">
        <v>25</v>
      </c>
      <c r="B1286" s="55" t="s">
        <v>69</v>
      </c>
      <c r="C1286" s="7"/>
      <c r="D1286" s="7"/>
      <c r="E1286" s="11"/>
      <c r="L1286" s="10">
        <v>1356602</v>
      </c>
    </row>
    <row r="1287" spans="1:12" ht="15.75" x14ac:dyDescent="0.25">
      <c r="A1287" s="37">
        <v>26</v>
      </c>
      <c r="B1287" s="55" t="s">
        <v>182</v>
      </c>
      <c r="C1287" s="7"/>
      <c r="D1287" s="7"/>
      <c r="E1287" s="11"/>
      <c r="J1287" s="10" t="s">
        <v>62</v>
      </c>
      <c r="L1287" s="51">
        <f>+L1285-L1286</f>
        <v>994081</v>
      </c>
    </row>
    <row r="1288" spans="1:12" x14ac:dyDescent="0.2">
      <c r="B1288" s="8"/>
      <c r="C1288" s="7"/>
      <c r="D1288" s="7"/>
      <c r="E1288" s="11"/>
      <c r="J1288" s="10"/>
      <c r="L1288" s="10"/>
    </row>
    <row r="1289" spans="1:12" ht="78.75" x14ac:dyDescent="0.25">
      <c r="B1289" s="8"/>
      <c r="C1289" s="7"/>
      <c r="D1289" s="7"/>
      <c r="E1289" s="11"/>
      <c r="J1289" s="51" t="s">
        <v>71</v>
      </c>
      <c r="K1289" s="52" t="s">
        <v>72</v>
      </c>
      <c r="L1289" s="53" t="s">
        <v>73</v>
      </c>
    </row>
    <row r="1290" spans="1:12" ht="15.75" x14ac:dyDescent="0.25">
      <c r="B1290" s="8" t="s">
        <v>74</v>
      </c>
      <c r="C1290" s="7"/>
      <c r="D1290" s="7"/>
      <c r="E1290" s="11"/>
      <c r="J1290" s="10">
        <f>+J1282+K1282</f>
        <v>1683315</v>
      </c>
      <c r="K1290" s="10">
        <f>+L1286</f>
        <v>1356602</v>
      </c>
      <c r="L1290" s="51">
        <f>+J1290-K1290</f>
        <v>326713</v>
      </c>
    </row>
    <row r="1291" spans="1:12" ht="15.75" x14ac:dyDescent="0.25">
      <c r="B1291" s="54" t="s">
        <v>75</v>
      </c>
      <c r="C1291" s="7"/>
      <c r="D1291" s="7"/>
      <c r="E1291" s="11"/>
      <c r="J1291" s="10">
        <f>+L1282</f>
        <v>667368</v>
      </c>
      <c r="K1291" s="10" t="s">
        <v>62</v>
      </c>
      <c r="L1291" s="51">
        <f>+J1291</f>
        <v>667368</v>
      </c>
    </row>
    <row r="1294" spans="1:12" x14ac:dyDescent="0.2">
      <c r="A1294" s="1" t="s">
        <v>23</v>
      </c>
      <c r="B1294" s="2"/>
    </row>
    <row r="1295" spans="1:12" ht="15.75" x14ac:dyDescent="0.25">
      <c r="A1295" s="56" t="s">
        <v>24</v>
      </c>
      <c r="B1295" s="3"/>
      <c r="C1295" s="56" t="s">
        <v>3</v>
      </c>
    </row>
    <row r="1296" spans="1:12" x14ac:dyDescent="0.2">
      <c r="A1296" s="55" t="s">
        <v>26</v>
      </c>
      <c r="B1296" s="2"/>
    </row>
    <row r="1297" spans="1:12" x14ac:dyDescent="0.2">
      <c r="B1297" s="2"/>
      <c r="C1297" s="4"/>
      <c r="D1297" s="4"/>
    </row>
    <row r="1298" spans="1:12" x14ac:dyDescent="0.2">
      <c r="B1298" s="2"/>
      <c r="C1298" s="5"/>
      <c r="D1298" s="5"/>
    </row>
    <row r="1299" spans="1:12" ht="15.75" x14ac:dyDescent="0.25">
      <c r="A1299" s="55" t="s">
        <v>27</v>
      </c>
      <c r="B1299" s="2"/>
      <c r="C1299" s="6">
        <v>769</v>
      </c>
      <c r="D1299" s="4"/>
      <c r="E1299" s="7"/>
    </row>
    <row r="1300" spans="1:12" ht="15.75" x14ac:dyDescent="0.25">
      <c r="A1300" s="55" t="s">
        <v>28</v>
      </c>
      <c r="B1300" s="2"/>
      <c r="C1300" s="6">
        <f>C1299*0.06</f>
        <v>46.14</v>
      </c>
      <c r="D1300" s="4"/>
      <c r="E1300" s="7"/>
    </row>
    <row r="1301" spans="1:12" ht="15.75" x14ac:dyDescent="0.25">
      <c r="A1301" s="55" t="s">
        <v>29</v>
      </c>
      <c r="B1301" s="2"/>
      <c r="C1301" s="6">
        <f>C1299/3*0.2</f>
        <v>51.266666666666666</v>
      </c>
      <c r="D1301" s="6"/>
      <c r="E1301" s="7"/>
    </row>
    <row r="1302" spans="1:12" ht="15.75" x14ac:dyDescent="0.25">
      <c r="B1302" s="2" t="s">
        <v>30</v>
      </c>
      <c r="C1302" s="6"/>
      <c r="D1302" s="4"/>
      <c r="E1302" s="7"/>
    </row>
    <row r="1303" spans="1:12" x14ac:dyDescent="0.2">
      <c r="B1303" s="2"/>
    </row>
    <row r="1304" spans="1:12" x14ac:dyDescent="0.2">
      <c r="A1304" s="7" t="s">
        <v>31</v>
      </c>
      <c r="B1304" s="8"/>
      <c r="D1304" s="9"/>
      <c r="F1304" s="9">
        <v>53950</v>
      </c>
      <c r="H1304" s="10"/>
      <c r="I1304" s="10"/>
    </row>
    <row r="1305" spans="1:12" x14ac:dyDescent="0.2">
      <c r="A1305" s="7" t="s">
        <v>32</v>
      </c>
      <c r="B1305" s="8"/>
      <c r="D1305" s="9"/>
      <c r="F1305" s="9">
        <v>59350</v>
      </c>
      <c r="H1305" s="10"/>
      <c r="I1305" s="10"/>
    </row>
    <row r="1306" spans="1:12" x14ac:dyDescent="0.2">
      <c r="A1306" s="7" t="s">
        <v>33</v>
      </c>
      <c r="B1306" s="8"/>
      <c r="D1306" s="9"/>
      <c r="F1306" s="9">
        <v>36150</v>
      </c>
      <c r="H1306" s="10"/>
      <c r="I1306" s="10"/>
    </row>
    <row r="1307" spans="1:12" x14ac:dyDescent="0.2">
      <c r="A1307" s="7"/>
      <c r="B1307" s="8"/>
      <c r="C1307" s="11"/>
      <c r="D1307" s="11"/>
      <c r="H1307" s="10"/>
      <c r="I1307" s="10"/>
    </row>
    <row r="1308" spans="1:12" ht="15.75" x14ac:dyDescent="0.25">
      <c r="B1308" s="2"/>
      <c r="J1308" s="12" t="s">
        <v>34</v>
      </c>
      <c r="K1308" s="412" t="s">
        <v>35</v>
      </c>
      <c r="L1308" s="413"/>
    </row>
    <row r="1309" spans="1:12" ht="31.5" x14ac:dyDescent="0.25">
      <c r="A1309" s="56" t="s">
        <v>36</v>
      </c>
      <c r="B1309" s="13"/>
      <c r="C1309" s="14" t="s">
        <v>37</v>
      </c>
      <c r="D1309" s="15"/>
      <c r="E1309" s="12" t="s">
        <v>38</v>
      </c>
      <c r="F1309" s="12" t="s">
        <v>39</v>
      </c>
      <c r="G1309" s="12" t="s">
        <v>40</v>
      </c>
      <c r="H1309" s="12" t="s">
        <v>0</v>
      </c>
      <c r="I1309" s="16"/>
      <c r="J1309" s="14" t="s">
        <v>41</v>
      </c>
      <c r="K1309" s="17" t="s">
        <v>42</v>
      </c>
      <c r="L1309" s="12" t="s">
        <v>43</v>
      </c>
    </row>
    <row r="1310" spans="1:12" ht="15.75" x14ac:dyDescent="0.25">
      <c r="A1310" s="18"/>
      <c r="B1310" s="13"/>
      <c r="C1310" s="19"/>
      <c r="D1310" s="15"/>
      <c r="E1310" s="20"/>
      <c r="F1310" s="21"/>
      <c r="G1310" s="21"/>
      <c r="H1310" s="22"/>
      <c r="I1310" s="16"/>
      <c r="J1310" s="23"/>
      <c r="K1310" s="24"/>
      <c r="L1310" s="25"/>
    </row>
    <row r="1311" spans="1:12" x14ac:dyDescent="0.2">
      <c r="A1311" s="55">
        <v>1</v>
      </c>
      <c r="B1311" s="2" t="s">
        <v>44</v>
      </c>
      <c r="C1311" s="26">
        <v>50000</v>
      </c>
      <c r="D1311" s="10"/>
      <c r="E1311" s="27"/>
      <c r="F1311" s="28"/>
      <c r="G1311" s="28">
        <f>+C1311</f>
        <v>50000</v>
      </c>
      <c r="H1311" s="29">
        <f>SUM(F1311+G1311)</f>
        <v>50000</v>
      </c>
      <c r="I1311" s="10"/>
      <c r="J1311" s="30">
        <f>+H1311</f>
        <v>50000</v>
      </c>
      <c r="K1311" s="28"/>
      <c r="L1311" s="29"/>
    </row>
    <row r="1312" spans="1:12" x14ac:dyDescent="0.2">
      <c r="B1312" s="2"/>
      <c r="C1312" s="26"/>
      <c r="D1312" s="10"/>
      <c r="E1312" s="27"/>
      <c r="F1312" s="28"/>
      <c r="G1312" s="28"/>
      <c r="H1312" s="29"/>
      <c r="I1312" s="10"/>
      <c r="J1312" s="30"/>
      <c r="K1312" s="28"/>
      <c r="L1312" s="29"/>
    </row>
    <row r="1313" spans="1:12" x14ac:dyDescent="0.2">
      <c r="A1313" s="55">
        <v>2</v>
      </c>
      <c r="B1313" s="2" t="s">
        <v>45</v>
      </c>
      <c r="C1313" s="26">
        <v>77000</v>
      </c>
      <c r="D1313" s="10"/>
      <c r="E1313" s="27">
        <v>1</v>
      </c>
      <c r="F1313" s="28">
        <f>+C1313*E1313</f>
        <v>77000</v>
      </c>
      <c r="G1313" s="28"/>
      <c r="H1313" s="29">
        <f>SUM(F1313+G1313)</f>
        <v>77000</v>
      </c>
      <c r="I1313" s="10"/>
      <c r="J1313" s="30">
        <f>+H1313</f>
        <v>77000</v>
      </c>
      <c r="K1313" s="28"/>
      <c r="L1313" s="29"/>
    </row>
    <row r="1314" spans="1:12" x14ac:dyDescent="0.2">
      <c r="B1314" s="2"/>
      <c r="C1314" s="26"/>
      <c r="D1314" s="10"/>
      <c r="E1314" s="27"/>
      <c r="F1314" s="28"/>
      <c r="G1314" s="28"/>
      <c r="H1314" s="29"/>
      <c r="I1314" s="10"/>
      <c r="J1314" s="30"/>
      <c r="K1314" s="28"/>
      <c r="L1314" s="29"/>
    </row>
    <row r="1315" spans="1:12" ht="30" x14ac:dyDescent="0.2">
      <c r="A1315" s="55">
        <v>3</v>
      </c>
      <c r="B1315" s="2" t="s">
        <v>81</v>
      </c>
      <c r="C1315" s="26">
        <f>+F1305</f>
        <v>59350</v>
      </c>
      <c r="D1315" s="10"/>
      <c r="E1315" s="27">
        <v>1</v>
      </c>
      <c r="F1315" s="28">
        <f>+C1315*E1315</f>
        <v>59350</v>
      </c>
      <c r="G1315" s="28"/>
      <c r="H1315" s="29">
        <f>SUM(F1315+G1315)</f>
        <v>59350</v>
      </c>
      <c r="I1315" s="10"/>
      <c r="J1315" s="30">
        <f>+H1315</f>
        <v>59350</v>
      </c>
      <c r="K1315" s="28"/>
      <c r="L1315" s="29"/>
    </row>
    <row r="1316" spans="1:12" x14ac:dyDescent="0.2">
      <c r="B1316" s="2"/>
      <c r="C1316" s="26"/>
      <c r="D1316" s="10"/>
      <c r="E1316" s="27"/>
      <c r="F1316" s="28"/>
      <c r="G1316" s="28"/>
      <c r="H1316" s="29"/>
      <c r="I1316" s="10"/>
      <c r="J1316" s="30"/>
      <c r="K1316" s="28"/>
      <c r="L1316" s="29"/>
    </row>
    <row r="1317" spans="1:12" x14ac:dyDescent="0.2">
      <c r="A1317" s="55">
        <v>4</v>
      </c>
      <c r="B1317" s="2" t="s">
        <v>46</v>
      </c>
      <c r="C1317" s="26">
        <v>39300</v>
      </c>
      <c r="D1317" s="10"/>
      <c r="E1317" s="27">
        <v>1</v>
      </c>
      <c r="F1317" s="28">
        <f>+C1317*E1317</f>
        <v>39300</v>
      </c>
      <c r="G1317" s="28"/>
      <c r="H1317" s="29">
        <f>SUM(F1317+G1317)</f>
        <v>39300</v>
      </c>
      <c r="I1317" s="10"/>
      <c r="J1317" s="30">
        <f>+H1317</f>
        <v>39300</v>
      </c>
      <c r="K1317" s="28"/>
      <c r="L1317" s="29"/>
    </row>
    <row r="1318" spans="1:12" x14ac:dyDescent="0.2">
      <c r="B1318" s="2"/>
      <c r="C1318" s="26"/>
      <c r="D1318" s="10"/>
      <c r="E1318" s="27"/>
      <c r="F1318" s="28"/>
      <c r="G1318" s="28"/>
      <c r="H1318" s="29"/>
      <c r="I1318" s="10"/>
      <c r="J1318" s="30"/>
      <c r="K1318" s="28"/>
      <c r="L1318" s="29"/>
    </row>
    <row r="1319" spans="1:12" x14ac:dyDescent="0.2">
      <c r="A1319" s="55">
        <v>5</v>
      </c>
      <c r="B1319" s="2" t="s">
        <v>47</v>
      </c>
      <c r="C1319" s="26">
        <v>36000</v>
      </c>
      <c r="D1319" s="10"/>
      <c r="E1319" s="27">
        <v>1</v>
      </c>
      <c r="F1319" s="28">
        <f>+C1319*E1319</f>
        <v>36000</v>
      </c>
      <c r="G1319" s="28"/>
      <c r="H1319" s="29">
        <f>SUM(F1319+G1319)</f>
        <v>36000</v>
      </c>
      <c r="I1319" s="10"/>
      <c r="J1319" s="30">
        <f>+H1319</f>
        <v>36000</v>
      </c>
      <c r="K1319" s="28"/>
      <c r="L1319" s="29"/>
    </row>
    <row r="1320" spans="1:12" x14ac:dyDescent="0.2">
      <c r="B1320" s="2"/>
      <c r="C1320" s="26"/>
      <c r="D1320" s="10"/>
      <c r="E1320" s="27"/>
      <c r="F1320" s="28"/>
      <c r="G1320" s="28"/>
      <c r="H1320" s="29"/>
      <c r="I1320" s="10"/>
      <c r="J1320" s="30"/>
      <c r="K1320" s="28"/>
      <c r="L1320" s="29"/>
    </row>
    <row r="1321" spans="1:12" x14ac:dyDescent="0.2">
      <c r="A1321" s="55">
        <v>6</v>
      </c>
      <c r="B1321" s="2" t="s">
        <v>48</v>
      </c>
      <c r="C1321" s="26">
        <v>51000</v>
      </c>
      <c r="D1321" s="10"/>
      <c r="E1321" s="27">
        <v>1</v>
      </c>
      <c r="F1321" s="28">
        <f>+C1321*E1321</f>
        <v>51000</v>
      </c>
      <c r="G1321" s="28"/>
      <c r="H1321" s="29">
        <f>SUM(F1321+G1321)</f>
        <v>51000</v>
      </c>
      <c r="I1321" s="10"/>
      <c r="J1321" s="30">
        <f>+H1321</f>
        <v>51000</v>
      </c>
      <c r="K1321" s="28"/>
      <c r="L1321" s="29"/>
    </row>
    <row r="1322" spans="1:12" x14ac:dyDescent="0.2">
      <c r="B1322" s="2"/>
      <c r="C1322" s="26"/>
      <c r="D1322" s="10"/>
      <c r="E1322" s="27"/>
      <c r="F1322" s="28"/>
      <c r="G1322" s="28"/>
      <c r="H1322" s="29"/>
      <c r="I1322" s="10"/>
      <c r="J1322" s="30"/>
      <c r="K1322" s="28"/>
      <c r="L1322" s="29"/>
    </row>
    <row r="1323" spans="1:12" x14ac:dyDescent="0.2">
      <c r="A1323" s="55">
        <v>7</v>
      </c>
      <c r="B1323" s="2" t="s">
        <v>49</v>
      </c>
      <c r="C1323" s="31">
        <v>0</v>
      </c>
      <c r="D1323" s="10"/>
      <c r="E1323" s="27"/>
      <c r="F1323" s="28"/>
      <c r="G1323" s="32">
        <v>0</v>
      </c>
      <c r="H1323" s="33">
        <v>0</v>
      </c>
      <c r="I1323" s="10"/>
      <c r="J1323" s="34">
        <f>+H1323</f>
        <v>0</v>
      </c>
      <c r="K1323" s="32">
        <v>0</v>
      </c>
      <c r="L1323" s="33">
        <v>0</v>
      </c>
    </row>
    <row r="1324" spans="1:12" x14ac:dyDescent="0.2">
      <c r="B1324" s="2"/>
      <c r="C1324" s="26"/>
      <c r="D1324" s="10"/>
      <c r="E1324" s="27"/>
      <c r="F1324" s="28"/>
      <c r="G1324" s="28"/>
      <c r="H1324" s="29"/>
      <c r="I1324" s="10"/>
      <c r="J1324" s="30"/>
      <c r="K1324" s="28"/>
      <c r="L1324" s="29"/>
    </row>
    <row r="1325" spans="1:12" x14ac:dyDescent="0.2">
      <c r="A1325" s="55">
        <v>8</v>
      </c>
      <c r="B1325" s="2" t="s">
        <v>50</v>
      </c>
      <c r="C1325" s="26">
        <v>13000</v>
      </c>
      <c r="D1325" s="10"/>
      <c r="E1325" s="27"/>
      <c r="F1325" s="28"/>
      <c r="G1325" s="28">
        <f>+C1325</f>
        <v>13000</v>
      </c>
      <c r="H1325" s="29">
        <f>SUM(F1325+G1325)</f>
        <v>13000</v>
      </c>
      <c r="I1325" s="10"/>
      <c r="J1325" s="30">
        <f>+H1325</f>
        <v>13000</v>
      </c>
      <c r="K1325" s="28"/>
      <c r="L1325" s="29"/>
    </row>
    <row r="1326" spans="1:12" x14ac:dyDescent="0.2">
      <c r="B1326" s="2"/>
      <c r="C1326" s="26"/>
      <c r="D1326" s="10"/>
      <c r="E1326" s="27"/>
      <c r="F1326" s="28"/>
      <c r="G1326" s="28"/>
      <c r="H1326" s="29"/>
      <c r="I1326" s="10"/>
      <c r="J1326" s="30"/>
      <c r="K1326" s="28"/>
      <c r="L1326" s="29"/>
    </row>
    <row r="1327" spans="1:12" x14ac:dyDescent="0.2">
      <c r="A1327" s="55">
        <v>9</v>
      </c>
      <c r="B1327" s="2" t="s">
        <v>51</v>
      </c>
      <c r="C1327" s="26">
        <v>30000</v>
      </c>
      <c r="D1327" s="10"/>
      <c r="E1327" s="27"/>
      <c r="F1327" s="28"/>
      <c r="G1327" s="28">
        <f>+C1327</f>
        <v>30000</v>
      </c>
      <c r="H1327" s="29">
        <f>SUM(F1327+G1327)</f>
        <v>30000</v>
      </c>
      <c r="I1327" s="10"/>
      <c r="J1327" s="30">
        <f>+H1327</f>
        <v>30000</v>
      </c>
      <c r="K1327" s="28"/>
      <c r="L1327" s="29"/>
    </row>
    <row r="1328" spans="1:12" x14ac:dyDescent="0.2">
      <c r="B1328" s="2"/>
      <c r="C1328" s="26"/>
      <c r="D1328" s="10"/>
      <c r="E1328" s="27"/>
      <c r="F1328" s="28"/>
      <c r="G1328" s="28"/>
      <c r="H1328" s="29"/>
      <c r="I1328" s="10"/>
      <c r="J1328" s="30"/>
      <c r="K1328" s="28"/>
      <c r="L1328" s="29"/>
    </row>
    <row r="1329" spans="1:12" x14ac:dyDescent="0.2">
      <c r="A1329" s="55">
        <v>10</v>
      </c>
      <c r="B1329" s="2" t="s">
        <v>52</v>
      </c>
      <c r="C1329" s="26">
        <v>40000</v>
      </c>
      <c r="D1329" s="10"/>
      <c r="E1329" s="27"/>
      <c r="F1329" s="28"/>
      <c r="G1329" s="28">
        <f>+C1329</f>
        <v>40000</v>
      </c>
      <c r="H1329" s="29">
        <f>SUM(F1329+G1329)</f>
        <v>40000</v>
      </c>
      <c r="I1329" s="10"/>
      <c r="J1329" s="30">
        <f>+H1329</f>
        <v>40000</v>
      </c>
      <c r="K1329" s="28"/>
      <c r="L1329" s="29"/>
    </row>
    <row r="1330" spans="1:12" x14ac:dyDescent="0.2">
      <c r="B1330" s="2"/>
      <c r="C1330" s="26"/>
      <c r="D1330" s="10"/>
      <c r="E1330" s="27"/>
      <c r="F1330" s="28"/>
      <c r="G1330" s="28"/>
      <c r="H1330" s="29"/>
      <c r="I1330" s="10"/>
      <c r="J1330" s="30"/>
      <c r="K1330" s="28"/>
      <c r="L1330" s="29"/>
    </row>
    <row r="1331" spans="1:12" ht="30" x14ac:dyDescent="0.2">
      <c r="A1331" s="55">
        <v>11</v>
      </c>
      <c r="B1331" s="2" t="s">
        <v>53</v>
      </c>
      <c r="C1331" s="26"/>
      <c r="D1331" s="10"/>
      <c r="E1331" s="27"/>
      <c r="F1331" s="28"/>
      <c r="G1331" s="28">
        <f>ROUND((F1313+F1315+F1317+F1319+F1321+F1333+F1337+F1339+F1341+F1344+F1346+F1348+F1350)*0.15,0)</f>
        <v>164426</v>
      </c>
      <c r="H1331" s="60">
        <f>SUM(F1331+G1331)</f>
        <v>164426</v>
      </c>
      <c r="I1331" s="10"/>
      <c r="J1331" s="30">
        <f>ROUND((SUM(F1313:F1321)*0.15),0)</f>
        <v>39398</v>
      </c>
      <c r="K1331" s="32">
        <f>ROUND(SUM(F1333:F1348)*0.15,0)</f>
        <v>100751</v>
      </c>
      <c r="L1331" s="33">
        <f>ROUND(F1350*0.15,0)</f>
        <v>24278</v>
      </c>
    </row>
    <row r="1332" spans="1:12" x14ac:dyDescent="0.2">
      <c r="B1332" s="2"/>
      <c r="C1332" s="26"/>
      <c r="D1332" s="10"/>
      <c r="E1332" s="27"/>
      <c r="F1332" s="28"/>
      <c r="G1332" s="28"/>
      <c r="H1332" s="29"/>
      <c r="I1332" s="10"/>
      <c r="J1332" s="30"/>
      <c r="K1332" s="32"/>
      <c r="L1332" s="33"/>
    </row>
    <row r="1333" spans="1:12" x14ac:dyDescent="0.2">
      <c r="A1333" s="55">
        <v>12</v>
      </c>
      <c r="B1333" s="2" t="s">
        <v>54</v>
      </c>
      <c r="C1333" s="26"/>
      <c r="D1333" s="10"/>
      <c r="E1333" s="27"/>
      <c r="F1333" s="28">
        <f>(F1313+F1315+F1317+F1319+F1321+F1337+F1339+F1341+F1344+F1346+F1348+F1350)*0.2045</f>
        <v>186108.80374999999</v>
      </c>
      <c r="G1333" s="28"/>
      <c r="H1333" s="29">
        <f>(+H1313+H1315+H1317+H1319+H1321+H1337+H1339+H1341+H1344+H1346+H1348+H1350)*0.2045</f>
        <v>186108.80374999999</v>
      </c>
      <c r="I1333" s="10"/>
      <c r="J1333" s="30">
        <f>ROUND((SUM(F1313:F1321)*0.2045),0)</f>
        <v>53712</v>
      </c>
      <c r="K1333" s="32">
        <f>ROUND((SUM(F1337:F1348)*0.2045),0)</f>
        <v>99299</v>
      </c>
      <c r="L1333" s="33">
        <f>ROUND(F1350*0.2045,0)</f>
        <v>33098</v>
      </c>
    </row>
    <row r="1334" spans="1:12" x14ac:dyDescent="0.2">
      <c r="B1334" s="2"/>
      <c r="C1334" s="26"/>
      <c r="D1334" s="10"/>
      <c r="E1334" s="27"/>
      <c r="F1334" s="28"/>
      <c r="G1334" s="28"/>
      <c r="H1334" s="29"/>
      <c r="I1334" s="10"/>
      <c r="J1334" s="30"/>
      <c r="K1334" s="32"/>
      <c r="L1334" s="33"/>
    </row>
    <row r="1335" spans="1:12" x14ac:dyDescent="0.2">
      <c r="A1335" s="55">
        <v>13</v>
      </c>
      <c r="B1335" s="2" t="s">
        <v>55</v>
      </c>
      <c r="C1335" s="26">
        <v>2000</v>
      </c>
      <c r="D1335" s="10"/>
      <c r="E1335" s="27"/>
      <c r="F1335" s="28"/>
      <c r="G1335" s="28">
        <f>E1358*2000</f>
        <v>34000</v>
      </c>
      <c r="H1335" s="29">
        <f>SUM(F1335:G1335)</f>
        <v>34000</v>
      </c>
      <c r="I1335" s="10"/>
      <c r="J1335" s="30">
        <f>(E1313+E1315+E1317+E1319+E1321)*2000</f>
        <v>10000</v>
      </c>
      <c r="K1335" s="32">
        <f>ROUND(SUM(E1339:E1348)*2000,0)</f>
        <v>18000</v>
      </c>
      <c r="L1335" s="33">
        <f>ROUND(E1350*2000,0)</f>
        <v>6000</v>
      </c>
    </row>
    <row r="1336" spans="1:12" x14ac:dyDescent="0.2">
      <c r="B1336" s="2"/>
      <c r="C1336" s="26"/>
      <c r="D1336" s="10"/>
      <c r="E1336" s="27"/>
      <c r="F1336" s="28"/>
      <c r="G1336" s="28"/>
      <c r="H1336" s="29"/>
      <c r="I1336" s="10"/>
      <c r="J1336" s="30"/>
      <c r="K1336" s="32"/>
      <c r="L1336" s="33"/>
    </row>
    <row r="1337" spans="1:12" ht="30" x14ac:dyDescent="0.2">
      <c r="A1337" s="55">
        <v>14</v>
      </c>
      <c r="B1337" s="2" t="s">
        <v>56</v>
      </c>
      <c r="C1337" s="26"/>
      <c r="D1337" s="10"/>
      <c r="E1337" s="27"/>
      <c r="F1337" s="28">
        <f>(F1344+F1348+F1350+F1339)*0.05</f>
        <v>24817.5</v>
      </c>
      <c r="G1337" s="28"/>
      <c r="H1337" s="29">
        <f>SUM(F1337:G1337)</f>
        <v>24817.5</v>
      </c>
      <c r="I1337" s="10"/>
      <c r="J1337" s="30"/>
      <c r="K1337" s="32">
        <f>ROUND((+F1339+F1344+F1348)*0.05,0)</f>
        <v>16725</v>
      </c>
      <c r="L1337" s="33">
        <f>ROUND(F1350*0.05,0)</f>
        <v>8093</v>
      </c>
    </row>
    <row r="1338" spans="1:12" x14ac:dyDescent="0.2">
      <c r="B1338" s="2"/>
      <c r="C1338" s="26"/>
      <c r="D1338" s="10"/>
      <c r="E1338" s="27"/>
      <c r="F1338" s="28"/>
      <c r="G1338" s="28"/>
      <c r="H1338" s="29"/>
      <c r="I1338" s="10"/>
      <c r="J1338" s="30"/>
      <c r="K1338" s="28"/>
      <c r="L1338" s="29"/>
    </row>
    <row r="1339" spans="1:12" x14ac:dyDescent="0.2">
      <c r="A1339" s="55">
        <v>15</v>
      </c>
      <c r="B1339" s="2" t="s">
        <v>57</v>
      </c>
      <c r="C1339" s="26">
        <f>+F1305</f>
        <v>59350</v>
      </c>
      <c r="D1339" s="10"/>
      <c r="E1339" s="27">
        <f>ROUND((E1350+E1348+E1346+E1344+E1341)/6,0)</f>
        <v>2</v>
      </c>
      <c r="F1339" s="28">
        <f>F1305*E1339</f>
        <v>118700</v>
      </c>
      <c r="G1339" s="28"/>
      <c r="H1339" s="29">
        <f>SUM(F1339:G1339)</f>
        <v>118700</v>
      </c>
      <c r="I1339" s="10"/>
      <c r="J1339" s="27"/>
      <c r="K1339" s="32">
        <f>ROUND(F1339*((+E$49+E$51+E$53)/(E$49+E$51+E$53+E$55)),0)</f>
        <v>74772</v>
      </c>
      <c r="L1339" s="33">
        <f>ROUND((+F1339*(E$55/(+E$49+E$51+E$53+E$55))),0)</f>
        <v>43928</v>
      </c>
    </row>
    <row r="1340" spans="1:12" x14ac:dyDescent="0.2">
      <c r="B1340" s="2"/>
      <c r="C1340" s="26"/>
      <c r="D1340" s="10"/>
      <c r="E1340" s="27"/>
      <c r="F1340" s="28"/>
      <c r="G1340" s="28"/>
      <c r="H1340" s="29"/>
      <c r="I1340" s="10"/>
      <c r="J1340" s="30"/>
      <c r="K1340" s="28"/>
      <c r="L1340" s="29"/>
    </row>
    <row r="1341" spans="1:12" x14ac:dyDescent="0.2">
      <c r="A1341" s="55">
        <v>16</v>
      </c>
      <c r="B1341" s="2" t="s">
        <v>58</v>
      </c>
      <c r="C1341" s="26">
        <f>+F1306</f>
        <v>36150</v>
      </c>
      <c r="D1341" s="10"/>
      <c r="E1341" s="27">
        <f>ROUND((E1350+E1348+E1346+E1344)/5,0)</f>
        <v>2</v>
      </c>
      <c r="F1341" s="28">
        <f>F1306*E1341</f>
        <v>72300</v>
      </c>
      <c r="G1341" s="28"/>
      <c r="H1341" s="29">
        <f>SUM(F1341:G1341)</f>
        <v>72300</v>
      </c>
      <c r="I1341" s="10"/>
      <c r="J1341" s="30"/>
      <c r="K1341" s="32">
        <f>ROUND(F1341*((+E$49+E$51+E$53)/(E$49+E$51+E$53+E$55)),0)</f>
        <v>45543</v>
      </c>
      <c r="L1341" s="33">
        <f>ROUND((+F1341*(E$55/(+E$49+E$51+E$53+E$55))),0)</f>
        <v>26757</v>
      </c>
    </row>
    <row r="1342" spans="1:12" x14ac:dyDescent="0.2">
      <c r="B1342" s="2"/>
      <c r="C1342" s="26"/>
      <c r="D1342" s="10"/>
      <c r="E1342" s="27"/>
      <c r="F1342" s="28"/>
      <c r="G1342" s="28"/>
      <c r="H1342" s="29"/>
      <c r="I1342" s="10"/>
      <c r="J1342" s="30"/>
      <c r="K1342" s="28"/>
      <c r="L1342" s="29"/>
    </row>
    <row r="1343" spans="1:12" ht="15.75" x14ac:dyDescent="0.25">
      <c r="A1343" s="18" t="s">
        <v>59</v>
      </c>
      <c r="B1343" s="2"/>
      <c r="C1343" s="26"/>
      <c r="D1343" s="10"/>
      <c r="E1343" s="27"/>
      <c r="F1343" s="28"/>
      <c r="G1343" s="28"/>
      <c r="H1343" s="29"/>
      <c r="I1343" s="10"/>
      <c r="J1343" s="30"/>
      <c r="K1343" s="28"/>
      <c r="L1343" s="29"/>
    </row>
    <row r="1344" spans="1:12" x14ac:dyDescent="0.2">
      <c r="A1344" s="36">
        <v>17</v>
      </c>
      <c r="B1344" s="37" t="s">
        <v>60</v>
      </c>
      <c r="C1344" s="38">
        <f>+F1304</f>
        <v>53950</v>
      </c>
      <c r="D1344" s="39"/>
      <c r="E1344" s="40">
        <f>ROUND(C1300/30,0)</f>
        <v>2</v>
      </c>
      <c r="F1344" s="41">
        <f>F1304*E1344</f>
        <v>107900</v>
      </c>
      <c r="G1344" s="41"/>
      <c r="H1344" s="35">
        <f>SUM(F1344:G1344)</f>
        <v>107900</v>
      </c>
      <c r="I1344" s="39"/>
      <c r="J1344" s="42"/>
      <c r="K1344" s="28">
        <f>F1304*E1344</f>
        <v>107900</v>
      </c>
      <c r="L1344" s="29"/>
    </row>
    <row r="1345" spans="1:12" x14ac:dyDescent="0.2">
      <c r="A1345" s="37"/>
      <c r="B1345" s="37"/>
      <c r="C1345" s="26"/>
      <c r="D1345" s="10"/>
      <c r="E1345" s="27"/>
      <c r="F1345" s="28"/>
      <c r="G1345" s="28"/>
      <c r="H1345" s="29"/>
      <c r="I1345" s="10"/>
      <c r="J1345" s="30"/>
      <c r="K1345" s="28"/>
      <c r="L1345" s="29"/>
    </row>
    <row r="1346" spans="1:12" ht="30" x14ac:dyDescent="0.2">
      <c r="A1346" s="36">
        <v>18</v>
      </c>
      <c r="B1346" s="37" t="s">
        <v>61</v>
      </c>
      <c r="C1346" s="26">
        <f>+F1304</f>
        <v>53950</v>
      </c>
      <c r="D1346" s="10"/>
      <c r="E1346" s="27">
        <v>1</v>
      </c>
      <c r="F1346" s="28">
        <f>F1304*E1346</f>
        <v>53950</v>
      </c>
      <c r="G1346" s="28"/>
      <c r="H1346" s="29">
        <f>SUM(F1346:G1346)</f>
        <v>53950</v>
      </c>
      <c r="I1346" s="10"/>
      <c r="J1346" s="30" t="s">
        <v>62</v>
      </c>
      <c r="K1346" s="28">
        <f>ROUND(E1346*F1304,0)</f>
        <v>53950</v>
      </c>
      <c r="L1346" s="29"/>
    </row>
    <row r="1347" spans="1:12" x14ac:dyDescent="0.2">
      <c r="A1347" s="37"/>
      <c r="B1347" s="37"/>
      <c r="C1347" s="26"/>
      <c r="D1347" s="10"/>
      <c r="E1347" s="27"/>
      <c r="F1347" s="28"/>
      <c r="G1347" s="28"/>
      <c r="H1347" s="29"/>
      <c r="I1347" s="10"/>
      <c r="J1347" s="30"/>
      <c r="K1347" s="28"/>
      <c r="L1347" s="29"/>
    </row>
    <row r="1348" spans="1:12" x14ac:dyDescent="0.2">
      <c r="A1348" s="37">
        <v>19</v>
      </c>
      <c r="B1348" s="37" t="s">
        <v>63</v>
      </c>
      <c r="C1348" s="26">
        <f>+F1304</f>
        <v>53950</v>
      </c>
      <c r="D1348" s="10"/>
      <c r="E1348" s="27">
        <f>ROUND(C1300/20,0)</f>
        <v>2</v>
      </c>
      <c r="F1348" s="28">
        <f>F1304*E1348</f>
        <v>107900</v>
      </c>
      <c r="G1348" s="28"/>
      <c r="H1348" s="29">
        <f>SUM(F1348:G1348)</f>
        <v>107900</v>
      </c>
      <c r="I1348" s="10"/>
      <c r="J1348" s="30"/>
      <c r="K1348" s="28">
        <f>F1304*E1348</f>
        <v>107900</v>
      </c>
      <c r="L1348" s="29"/>
    </row>
    <row r="1349" spans="1:12" x14ac:dyDescent="0.2">
      <c r="A1349" s="37"/>
      <c r="B1349" s="37"/>
      <c r="C1349" s="26"/>
      <c r="D1349" s="10"/>
      <c r="E1349" s="27"/>
      <c r="F1349" s="28"/>
      <c r="G1349" s="28"/>
      <c r="H1349" s="29"/>
      <c r="I1349" s="10"/>
      <c r="J1349" s="30"/>
      <c r="K1349" s="28"/>
      <c r="L1349" s="29"/>
    </row>
    <row r="1350" spans="1:12" x14ac:dyDescent="0.2">
      <c r="A1350" s="37">
        <v>20</v>
      </c>
      <c r="B1350" s="37" t="s">
        <v>64</v>
      </c>
      <c r="C1350" s="26">
        <f>+F1304</f>
        <v>53950</v>
      </c>
      <c r="D1350" s="10"/>
      <c r="E1350" s="27">
        <f>ROUND(C1301/20,0)</f>
        <v>3</v>
      </c>
      <c r="F1350" s="28">
        <f>F1304*E1350</f>
        <v>161850</v>
      </c>
      <c r="G1350" s="28"/>
      <c r="H1350" s="29">
        <f>SUM(F1350:G1350)</f>
        <v>161850</v>
      </c>
      <c r="I1350" s="10"/>
      <c r="J1350" s="30"/>
      <c r="K1350" s="28"/>
      <c r="L1350" s="29">
        <f>F1304*E1350</f>
        <v>161850</v>
      </c>
    </row>
    <row r="1351" spans="1:12" x14ac:dyDescent="0.2">
      <c r="A1351" s="37"/>
      <c r="B1351" s="37"/>
      <c r="C1351" s="26"/>
      <c r="D1351" s="10"/>
      <c r="E1351" s="27"/>
      <c r="F1351" s="28"/>
      <c r="G1351" s="28"/>
      <c r="H1351" s="29"/>
      <c r="I1351" s="10"/>
      <c r="J1351" s="30"/>
      <c r="K1351" s="28"/>
      <c r="L1351" s="29"/>
    </row>
    <row r="1352" spans="1:12" x14ac:dyDescent="0.2">
      <c r="A1352" s="37">
        <v>21</v>
      </c>
      <c r="B1352" s="37" t="s">
        <v>65</v>
      </c>
      <c r="C1352" s="31"/>
      <c r="D1352" s="43"/>
      <c r="E1352" s="27"/>
      <c r="F1352" s="28"/>
      <c r="G1352" s="28">
        <f>ROUND(125*C1299,0)</f>
        <v>96125</v>
      </c>
      <c r="H1352" s="29">
        <f>SUM(F1352:G1352)</f>
        <v>96125</v>
      </c>
      <c r="I1352" s="10"/>
      <c r="J1352" s="30" t="s">
        <v>62</v>
      </c>
      <c r="K1352" s="29">
        <f>ROUND(125/2*C1299,0)</f>
        <v>48063</v>
      </c>
      <c r="L1352" s="29">
        <f>ROUND(125/2*C1299,0)</f>
        <v>48063</v>
      </c>
    </row>
    <row r="1353" spans="1:12" x14ac:dyDescent="0.2">
      <c r="A1353" s="37"/>
      <c r="B1353" s="37"/>
      <c r="C1353" s="26"/>
      <c r="D1353" s="10"/>
      <c r="E1353" s="27"/>
      <c r="F1353" s="28"/>
      <c r="G1353" s="28"/>
      <c r="H1353" s="29"/>
      <c r="I1353" s="10"/>
      <c r="J1353" s="30"/>
      <c r="K1353" s="28"/>
      <c r="L1353" s="29"/>
    </row>
    <row r="1354" spans="1:12" x14ac:dyDescent="0.2">
      <c r="A1354" s="37">
        <v>22</v>
      </c>
      <c r="B1354" s="37" t="s">
        <v>66</v>
      </c>
      <c r="C1354" s="26">
        <v>10000</v>
      </c>
      <c r="D1354" s="10"/>
      <c r="E1354" s="27"/>
      <c r="F1354" s="28"/>
      <c r="G1354" s="28">
        <f>((E1313+E1339+E1344+E1346+E1348+E1350)*10000)</f>
        <v>110000</v>
      </c>
      <c r="H1354" s="29">
        <f>SUM(F1354:G1354)</f>
        <v>110000</v>
      </c>
      <c r="I1354" s="10"/>
      <c r="J1354" s="30">
        <f>ROUND(10000*E1313,0)</f>
        <v>10000</v>
      </c>
      <c r="K1354" s="32">
        <f>(ROUND(10000*(+E1348+E1346+E1344+E1339),0))</f>
        <v>70000</v>
      </c>
      <c r="L1354" s="33">
        <f>ROUND(10000*E1350,0)</f>
        <v>30000</v>
      </c>
    </row>
    <row r="1355" spans="1:12" x14ac:dyDescent="0.2">
      <c r="A1355" s="37"/>
      <c r="B1355" s="37"/>
      <c r="C1355" s="26"/>
      <c r="D1355" s="10"/>
      <c r="E1355" s="27"/>
      <c r="F1355" s="28"/>
      <c r="G1355" s="28"/>
      <c r="H1355" s="29"/>
      <c r="I1355" s="10"/>
      <c r="J1355" s="30"/>
      <c r="K1355" s="32"/>
      <c r="L1355" s="33"/>
    </row>
    <row r="1356" spans="1:12" x14ac:dyDescent="0.2">
      <c r="A1356" s="37">
        <v>23</v>
      </c>
      <c r="B1356" s="37" t="s">
        <v>82</v>
      </c>
      <c r="C1356" s="26"/>
      <c r="D1356" s="10"/>
      <c r="E1356" s="27"/>
      <c r="F1356" s="28"/>
      <c r="G1356" s="28">
        <v>9000</v>
      </c>
      <c r="H1356" s="29">
        <f>+G1356</f>
        <v>9000</v>
      </c>
      <c r="I1356" s="10"/>
      <c r="J1356" s="30"/>
      <c r="K1356" s="32"/>
      <c r="L1356" s="33">
        <f>+H1356</f>
        <v>9000</v>
      </c>
    </row>
    <row r="1357" spans="1:12" x14ac:dyDescent="0.2">
      <c r="B1357" s="2"/>
      <c r="C1357" s="26"/>
      <c r="D1357" s="10"/>
      <c r="E1357" s="27"/>
      <c r="F1357" s="28"/>
      <c r="G1357" s="28"/>
      <c r="H1357" s="29"/>
      <c r="I1357" s="10"/>
      <c r="J1357" s="30"/>
      <c r="K1357" s="28"/>
      <c r="L1357" s="29"/>
    </row>
    <row r="1358" spans="1:12" ht="15.75" x14ac:dyDescent="0.25">
      <c r="B1358" s="3" t="s">
        <v>67</v>
      </c>
      <c r="C1358" s="44"/>
      <c r="D1358" s="10"/>
      <c r="E1358" s="45">
        <f>SUM(E1311:E1354)</f>
        <v>17</v>
      </c>
      <c r="F1358" s="46">
        <f>SUM(F1311:F1356)</f>
        <v>1096176.30375</v>
      </c>
      <c r="G1358" s="46">
        <f>SUM(G1311:G1356)</f>
        <v>546551</v>
      </c>
      <c r="H1358" s="47">
        <f>SUM(H1311:H1357)</f>
        <v>1642727.30375</v>
      </c>
      <c r="I1358" s="10"/>
      <c r="J1358" s="48">
        <f>SUM(J1311:J1356)</f>
        <v>508760</v>
      </c>
      <c r="K1358" s="46">
        <f>SUM(K1311:K1357)</f>
        <v>742903</v>
      </c>
      <c r="L1358" s="47">
        <f>SUM(L1311:L1357)</f>
        <v>391067</v>
      </c>
    </row>
    <row r="1359" spans="1:12" x14ac:dyDescent="0.2">
      <c r="B1359" s="49"/>
      <c r="J1359" s="50"/>
      <c r="L1359" s="50"/>
    </row>
    <row r="1360" spans="1:12" x14ac:dyDescent="0.2">
      <c r="B1360" s="49"/>
      <c r="J1360" s="50"/>
      <c r="L1360" s="50"/>
    </row>
    <row r="1361" spans="1:12" x14ac:dyDescent="0.2">
      <c r="A1361" s="37">
        <v>24</v>
      </c>
      <c r="B1361" s="55" t="s">
        <v>68</v>
      </c>
      <c r="C1361" s="8"/>
      <c r="D1361" s="8"/>
      <c r="E1361" s="11"/>
      <c r="L1361" s="10">
        <f>+J1358+K1358+L1358</f>
        <v>1642730</v>
      </c>
    </row>
    <row r="1362" spans="1:12" x14ac:dyDescent="0.2">
      <c r="A1362" s="37">
        <v>25</v>
      </c>
      <c r="B1362" s="55" t="s">
        <v>69</v>
      </c>
      <c r="C1362" s="7"/>
      <c r="D1362" s="7"/>
      <c r="E1362" s="11"/>
      <c r="L1362" s="10">
        <v>598261</v>
      </c>
    </row>
    <row r="1363" spans="1:12" ht="15.75" x14ac:dyDescent="0.25">
      <c r="A1363" s="37">
        <v>26</v>
      </c>
      <c r="B1363" s="55" t="s">
        <v>182</v>
      </c>
      <c r="C1363" s="7"/>
      <c r="D1363" s="7"/>
      <c r="E1363" s="11"/>
      <c r="J1363" s="10" t="s">
        <v>62</v>
      </c>
      <c r="L1363" s="51">
        <f>+L1361-L1362</f>
        <v>1044469</v>
      </c>
    </row>
    <row r="1364" spans="1:12" x14ac:dyDescent="0.2">
      <c r="B1364" s="8"/>
      <c r="C1364" s="7"/>
      <c r="D1364" s="7"/>
      <c r="E1364" s="11"/>
      <c r="J1364" s="10"/>
      <c r="L1364" s="10"/>
    </row>
    <row r="1365" spans="1:12" ht="78.75" x14ac:dyDescent="0.25">
      <c r="B1365" s="8"/>
      <c r="C1365" s="7"/>
      <c r="D1365" s="7"/>
      <c r="E1365" s="11"/>
      <c r="J1365" s="51" t="s">
        <v>71</v>
      </c>
      <c r="K1365" s="52" t="s">
        <v>72</v>
      </c>
      <c r="L1365" s="53" t="s">
        <v>73</v>
      </c>
    </row>
    <row r="1366" spans="1:12" ht="15.75" x14ac:dyDescent="0.25">
      <c r="B1366" s="8" t="s">
        <v>74</v>
      </c>
      <c r="C1366" s="7"/>
      <c r="D1366" s="7"/>
      <c r="E1366" s="11"/>
      <c r="J1366" s="10">
        <f>+J1358+K1358</f>
        <v>1251663</v>
      </c>
      <c r="K1366" s="10">
        <f>+L1362</f>
        <v>598261</v>
      </c>
      <c r="L1366" s="51">
        <f>+J1366-K1366</f>
        <v>653402</v>
      </c>
    </row>
    <row r="1367" spans="1:12" ht="15.75" x14ac:dyDescent="0.25">
      <c r="B1367" s="54" t="s">
        <v>75</v>
      </c>
      <c r="C1367" s="7"/>
      <c r="D1367" s="7"/>
      <c r="E1367" s="11"/>
      <c r="J1367" s="10">
        <f>+L1358</f>
        <v>391067</v>
      </c>
      <c r="K1367" s="10" t="s">
        <v>62</v>
      </c>
      <c r="L1367" s="51">
        <f>+J1367</f>
        <v>391067</v>
      </c>
    </row>
    <row r="1371" spans="1:12" x14ac:dyDescent="0.2">
      <c r="A1371" s="1" t="s">
        <v>23</v>
      </c>
      <c r="B1371" s="2"/>
    </row>
    <row r="1372" spans="1:12" ht="15.75" x14ac:dyDescent="0.25">
      <c r="A1372" s="56" t="s">
        <v>24</v>
      </c>
      <c r="B1372" s="3"/>
      <c r="C1372" s="56" t="s">
        <v>194</v>
      </c>
    </row>
    <row r="1373" spans="1:12" x14ac:dyDescent="0.2">
      <c r="A1373" s="55" t="s">
        <v>26</v>
      </c>
      <c r="B1373" s="2"/>
    </row>
    <row r="1374" spans="1:12" x14ac:dyDescent="0.2">
      <c r="B1374" s="2"/>
      <c r="C1374" s="4"/>
      <c r="D1374" s="4"/>
    </row>
    <row r="1375" spans="1:12" x14ac:dyDescent="0.2">
      <c r="B1375" s="2"/>
      <c r="C1375" s="5"/>
      <c r="D1375" s="5"/>
    </row>
    <row r="1376" spans="1:12" ht="15.75" x14ac:dyDescent="0.25">
      <c r="A1376" s="55" t="s">
        <v>27</v>
      </c>
      <c r="B1376" s="2"/>
      <c r="C1376" s="6">
        <v>2466</v>
      </c>
      <c r="D1376" s="4"/>
      <c r="E1376" s="7"/>
    </row>
    <row r="1377" spans="1:12" ht="15.75" x14ac:dyDescent="0.25">
      <c r="A1377" s="55" t="s">
        <v>28</v>
      </c>
      <c r="B1377" s="2"/>
      <c r="C1377" s="6">
        <f>C1376*0.06</f>
        <v>147.96</v>
      </c>
      <c r="D1377" s="4"/>
      <c r="E1377" s="7"/>
    </row>
    <row r="1378" spans="1:12" ht="15.75" x14ac:dyDescent="0.25">
      <c r="A1378" s="55" t="s">
        <v>29</v>
      </c>
      <c r="B1378" s="2"/>
      <c r="C1378" s="6">
        <f>C1376/3*0.2</f>
        <v>164.4</v>
      </c>
      <c r="D1378" s="6"/>
      <c r="E1378" s="7"/>
    </row>
    <row r="1379" spans="1:12" ht="15.75" x14ac:dyDescent="0.25">
      <c r="B1379" s="2" t="s">
        <v>30</v>
      </c>
      <c r="C1379" s="6"/>
      <c r="D1379" s="4"/>
      <c r="E1379" s="7"/>
    </row>
    <row r="1380" spans="1:12" x14ac:dyDescent="0.2">
      <c r="B1380" s="2"/>
    </row>
    <row r="1381" spans="1:12" x14ac:dyDescent="0.2">
      <c r="A1381" s="7" t="s">
        <v>31</v>
      </c>
      <c r="B1381" s="8"/>
      <c r="D1381" s="9"/>
      <c r="F1381" s="9">
        <v>53950</v>
      </c>
      <c r="H1381" s="10"/>
      <c r="I1381" s="10"/>
    </row>
    <row r="1382" spans="1:12" x14ac:dyDescent="0.2">
      <c r="A1382" s="7" t="s">
        <v>32</v>
      </c>
      <c r="B1382" s="8"/>
      <c r="D1382" s="9"/>
      <c r="F1382" s="9">
        <v>59350</v>
      </c>
      <c r="H1382" s="10"/>
      <c r="I1382" s="10"/>
    </row>
    <row r="1383" spans="1:12" x14ac:dyDescent="0.2">
      <c r="A1383" s="7" t="s">
        <v>33</v>
      </c>
      <c r="B1383" s="8"/>
      <c r="D1383" s="9"/>
      <c r="F1383" s="9">
        <v>36150</v>
      </c>
      <c r="H1383" s="10"/>
      <c r="I1383" s="10"/>
    </row>
    <row r="1384" spans="1:12" x14ac:dyDescent="0.2">
      <c r="A1384" s="7"/>
      <c r="B1384" s="8"/>
      <c r="C1384" s="11"/>
      <c r="D1384" s="11"/>
      <c r="H1384" s="10"/>
      <c r="I1384" s="10"/>
    </row>
    <row r="1385" spans="1:12" ht="15.75" x14ac:dyDescent="0.25">
      <c r="B1385" s="2"/>
      <c r="J1385" s="12" t="s">
        <v>34</v>
      </c>
      <c r="K1385" s="412" t="s">
        <v>35</v>
      </c>
      <c r="L1385" s="413"/>
    </row>
    <row r="1386" spans="1:12" ht="31.5" x14ac:dyDescent="0.25">
      <c r="A1386" s="56" t="s">
        <v>36</v>
      </c>
      <c r="B1386" s="13"/>
      <c r="C1386" s="14" t="s">
        <v>37</v>
      </c>
      <c r="D1386" s="15"/>
      <c r="E1386" s="12" t="s">
        <v>38</v>
      </c>
      <c r="F1386" s="12" t="s">
        <v>39</v>
      </c>
      <c r="G1386" s="12" t="s">
        <v>40</v>
      </c>
      <c r="H1386" s="12" t="s">
        <v>0</v>
      </c>
      <c r="I1386" s="16"/>
      <c r="J1386" s="14" t="s">
        <v>41</v>
      </c>
      <c r="K1386" s="17" t="s">
        <v>42</v>
      </c>
      <c r="L1386" s="12" t="s">
        <v>43</v>
      </c>
    </row>
    <row r="1387" spans="1:12" ht="15.75" x14ac:dyDescent="0.25">
      <c r="A1387" s="18"/>
      <c r="B1387" s="13"/>
      <c r="C1387" s="19"/>
      <c r="D1387" s="15"/>
      <c r="E1387" s="20"/>
      <c r="F1387" s="21"/>
      <c r="G1387" s="21"/>
      <c r="H1387" s="22"/>
      <c r="I1387" s="16"/>
      <c r="J1387" s="23"/>
      <c r="K1387" s="24"/>
      <c r="L1387" s="25"/>
    </row>
    <row r="1388" spans="1:12" x14ac:dyDescent="0.2">
      <c r="A1388" s="55">
        <v>1</v>
      </c>
      <c r="B1388" s="2" t="s">
        <v>44</v>
      </c>
      <c r="C1388" s="26">
        <v>50000</v>
      </c>
      <c r="D1388" s="10"/>
      <c r="E1388" s="27"/>
      <c r="F1388" s="28"/>
      <c r="G1388" s="28">
        <f>+C1388</f>
        <v>50000</v>
      </c>
      <c r="H1388" s="29">
        <f>SUM(F1388+G1388)</f>
        <v>50000</v>
      </c>
      <c r="I1388" s="10"/>
      <c r="J1388" s="30">
        <f>+H1388</f>
        <v>50000</v>
      </c>
      <c r="K1388" s="28"/>
      <c r="L1388" s="29"/>
    </row>
    <row r="1389" spans="1:12" x14ac:dyDescent="0.2">
      <c r="B1389" s="2"/>
      <c r="C1389" s="26"/>
      <c r="D1389" s="10"/>
      <c r="E1389" s="27"/>
      <c r="F1389" s="28"/>
      <c r="G1389" s="28"/>
      <c r="H1389" s="29"/>
      <c r="I1389" s="10"/>
      <c r="J1389" s="30"/>
      <c r="K1389" s="28"/>
      <c r="L1389" s="29"/>
    </row>
    <row r="1390" spans="1:12" x14ac:dyDescent="0.2">
      <c r="A1390" s="55">
        <v>2</v>
      </c>
      <c r="B1390" s="2" t="s">
        <v>45</v>
      </c>
      <c r="C1390" s="26">
        <v>77000</v>
      </c>
      <c r="D1390" s="10"/>
      <c r="E1390" s="27">
        <v>1</v>
      </c>
      <c r="F1390" s="28">
        <f>+C1390*E1390</f>
        <v>77000</v>
      </c>
      <c r="G1390" s="28"/>
      <c r="H1390" s="29">
        <f>SUM(F1390+G1390)</f>
        <v>77000</v>
      </c>
      <c r="I1390" s="10"/>
      <c r="J1390" s="30">
        <f>+H1390</f>
        <v>77000</v>
      </c>
      <c r="K1390" s="28"/>
      <c r="L1390" s="29"/>
    </row>
    <row r="1391" spans="1:12" x14ac:dyDescent="0.2">
      <c r="B1391" s="2"/>
      <c r="C1391" s="26"/>
      <c r="D1391" s="10"/>
      <c r="E1391" s="27"/>
      <c r="F1391" s="28"/>
      <c r="G1391" s="28"/>
      <c r="H1391" s="29"/>
      <c r="I1391" s="10"/>
      <c r="J1391" s="30"/>
      <c r="K1391" s="28"/>
      <c r="L1391" s="29"/>
    </row>
    <row r="1392" spans="1:12" ht="30" x14ac:dyDescent="0.2">
      <c r="A1392" s="55">
        <v>3</v>
      </c>
      <c r="B1392" s="2" t="s">
        <v>81</v>
      </c>
      <c r="C1392" s="26">
        <f>+F1382</f>
        <v>59350</v>
      </c>
      <c r="D1392" s="10"/>
      <c r="E1392" s="27">
        <v>1</v>
      </c>
      <c r="F1392" s="28">
        <f>+C1392*E1392</f>
        <v>59350</v>
      </c>
      <c r="G1392" s="28"/>
      <c r="H1392" s="29">
        <f>SUM(F1392+G1392)</f>
        <v>59350</v>
      </c>
      <c r="I1392" s="10"/>
      <c r="J1392" s="30">
        <f>+H1392</f>
        <v>59350</v>
      </c>
      <c r="K1392" s="28"/>
      <c r="L1392" s="29"/>
    </row>
    <row r="1393" spans="1:12" x14ac:dyDescent="0.2">
      <c r="B1393" s="2"/>
      <c r="C1393" s="26"/>
      <c r="D1393" s="10"/>
      <c r="E1393" s="27"/>
      <c r="F1393" s="28"/>
      <c r="G1393" s="28"/>
      <c r="H1393" s="29"/>
      <c r="I1393" s="10"/>
      <c r="J1393" s="30"/>
      <c r="K1393" s="28"/>
      <c r="L1393" s="29"/>
    </row>
    <row r="1394" spans="1:12" x14ac:dyDescent="0.2">
      <c r="A1394" s="55">
        <v>4</v>
      </c>
      <c r="B1394" s="2" t="s">
        <v>46</v>
      </c>
      <c r="C1394" s="26">
        <v>39300</v>
      </c>
      <c r="D1394" s="10"/>
      <c r="E1394" s="27">
        <v>1</v>
      </c>
      <c r="F1394" s="28">
        <f>+C1394*E1394</f>
        <v>39300</v>
      </c>
      <c r="G1394" s="28"/>
      <c r="H1394" s="29">
        <f>SUM(F1394+G1394)</f>
        <v>39300</v>
      </c>
      <c r="I1394" s="10"/>
      <c r="J1394" s="30">
        <f>+H1394</f>
        <v>39300</v>
      </c>
      <c r="K1394" s="28"/>
      <c r="L1394" s="29"/>
    </row>
    <row r="1395" spans="1:12" x14ac:dyDescent="0.2">
      <c r="B1395" s="2"/>
      <c r="C1395" s="26"/>
      <c r="D1395" s="10"/>
      <c r="E1395" s="27"/>
      <c r="F1395" s="28"/>
      <c r="G1395" s="28"/>
      <c r="H1395" s="29"/>
      <c r="I1395" s="10"/>
      <c r="J1395" s="30"/>
      <c r="K1395" s="28"/>
      <c r="L1395" s="29"/>
    </row>
    <row r="1396" spans="1:12" x14ac:dyDescent="0.2">
      <c r="A1396" s="55">
        <v>5</v>
      </c>
      <c r="B1396" s="2" t="s">
        <v>47</v>
      </c>
      <c r="C1396" s="26">
        <v>36000</v>
      </c>
      <c r="D1396" s="10"/>
      <c r="E1396" s="27">
        <v>1</v>
      </c>
      <c r="F1396" s="28">
        <f>+C1396*E1396</f>
        <v>36000</v>
      </c>
      <c r="G1396" s="28"/>
      <c r="H1396" s="29">
        <f>SUM(F1396+G1396)</f>
        <v>36000</v>
      </c>
      <c r="I1396" s="10"/>
      <c r="J1396" s="30">
        <f>+H1396</f>
        <v>36000</v>
      </c>
      <c r="K1396" s="28"/>
      <c r="L1396" s="29"/>
    </row>
    <row r="1397" spans="1:12" x14ac:dyDescent="0.2">
      <c r="B1397" s="2"/>
      <c r="C1397" s="26"/>
      <c r="D1397" s="10"/>
      <c r="E1397" s="27"/>
      <c r="F1397" s="28"/>
      <c r="G1397" s="28"/>
      <c r="H1397" s="29"/>
      <c r="I1397" s="10"/>
      <c r="J1397" s="30"/>
      <c r="K1397" s="28"/>
      <c r="L1397" s="29"/>
    </row>
    <row r="1398" spans="1:12" x14ac:dyDescent="0.2">
      <c r="A1398" s="55">
        <v>6</v>
      </c>
      <c r="B1398" s="2" t="s">
        <v>48</v>
      </c>
      <c r="C1398" s="26">
        <v>51000</v>
      </c>
      <c r="D1398" s="10"/>
      <c r="E1398" s="27">
        <v>1</v>
      </c>
      <c r="F1398" s="28">
        <f>+C1398*E1398</f>
        <v>51000</v>
      </c>
      <c r="G1398" s="28"/>
      <c r="H1398" s="29">
        <f>SUM(F1398+G1398)</f>
        <v>51000</v>
      </c>
      <c r="I1398" s="10"/>
      <c r="J1398" s="30">
        <f>+H1398</f>
        <v>51000</v>
      </c>
      <c r="K1398" s="28"/>
      <c r="L1398" s="29"/>
    </row>
    <row r="1399" spans="1:12" x14ac:dyDescent="0.2">
      <c r="B1399" s="2"/>
      <c r="C1399" s="26"/>
      <c r="D1399" s="10"/>
      <c r="E1399" s="27"/>
      <c r="F1399" s="28"/>
      <c r="G1399" s="28"/>
      <c r="H1399" s="29"/>
      <c r="I1399" s="10"/>
      <c r="J1399" s="30"/>
      <c r="K1399" s="28"/>
      <c r="L1399" s="29"/>
    </row>
    <row r="1400" spans="1:12" x14ac:dyDescent="0.2">
      <c r="A1400" s="55">
        <v>7</v>
      </c>
      <c r="B1400" s="2" t="s">
        <v>49</v>
      </c>
      <c r="C1400" s="31">
        <v>0</v>
      </c>
      <c r="D1400" s="10"/>
      <c r="E1400" s="27"/>
      <c r="F1400" s="28"/>
      <c r="G1400" s="32">
        <v>0</v>
      </c>
      <c r="H1400" s="33">
        <v>0</v>
      </c>
      <c r="I1400" s="10"/>
      <c r="J1400" s="34">
        <f>+H1400</f>
        <v>0</v>
      </c>
      <c r="K1400" s="32">
        <v>0</v>
      </c>
      <c r="L1400" s="33">
        <v>0</v>
      </c>
    </row>
    <row r="1401" spans="1:12" x14ac:dyDescent="0.2">
      <c r="B1401" s="2"/>
      <c r="C1401" s="26"/>
      <c r="D1401" s="10"/>
      <c r="E1401" s="27"/>
      <c r="F1401" s="28"/>
      <c r="G1401" s="28"/>
      <c r="H1401" s="29"/>
      <c r="I1401" s="10"/>
      <c r="J1401" s="30"/>
      <c r="K1401" s="28"/>
      <c r="L1401" s="29"/>
    </row>
    <row r="1402" spans="1:12" x14ac:dyDescent="0.2">
      <c r="A1402" s="55">
        <v>8</v>
      </c>
      <c r="B1402" s="2" t="s">
        <v>50</v>
      </c>
      <c r="C1402" s="26">
        <v>13000</v>
      </c>
      <c r="D1402" s="10"/>
      <c r="E1402" s="27"/>
      <c r="F1402" s="28"/>
      <c r="G1402" s="28">
        <f>+C1402</f>
        <v>13000</v>
      </c>
      <c r="H1402" s="29">
        <f>SUM(F1402+G1402)</f>
        <v>13000</v>
      </c>
      <c r="I1402" s="10"/>
      <c r="J1402" s="30">
        <f>+H1402</f>
        <v>13000</v>
      </c>
      <c r="K1402" s="28"/>
      <c r="L1402" s="29"/>
    </row>
    <row r="1403" spans="1:12" x14ac:dyDescent="0.2">
      <c r="B1403" s="2"/>
      <c r="C1403" s="26"/>
      <c r="D1403" s="10"/>
      <c r="E1403" s="27"/>
      <c r="F1403" s="28"/>
      <c r="G1403" s="28"/>
      <c r="H1403" s="29"/>
      <c r="I1403" s="10"/>
      <c r="J1403" s="30"/>
      <c r="K1403" s="28"/>
      <c r="L1403" s="29"/>
    </row>
    <row r="1404" spans="1:12" x14ac:dyDescent="0.2">
      <c r="A1404" s="55">
        <v>9</v>
      </c>
      <c r="B1404" s="2" t="s">
        <v>51</v>
      </c>
      <c r="C1404" s="26">
        <v>30000</v>
      </c>
      <c r="D1404" s="10"/>
      <c r="E1404" s="27"/>
      <c r="F1404" s="28"/>
      <c r="G1404" s="28">
        <f>+C1404</f>
        <v>30000</v>
      </c>
      <c r="H1404" s="29">
        <f>SUM(F1404+G1404)</f>
        <v>30000</v>
      </c>
      <c r="I1404" s="10"/>
      <c r="J1404" s="30">
        <f>+H1404</f>
        <v>30000</v>
      </c>
      <c r="K1404" s="28"/>
      <c r="L1404" s="29"/>
    </row>
    <row r="1405" spans="1:12" x14ac:dyDescent="0.2">
      <c r="B1405" s="2"/>
      <c r="C1405" s="26"/>
      <c r="D1405" s="10"/>
      <c r="E1405" s="27"/>
      <c r="F1405" s="28"/>
      <c r="G1405" s="28"/>
      <c r="H1405" s="29"/>
      <c r="I1405" s="10"/>
      <c r="J1405" s="30"/>
      <c r="K1405" s="28"/>
      <c r="L1405" s="29"/>
    </row>
    <row r="1406" spans="1:12" x14ac:dyDescent="0.2">
      <c r="A1406" s="55">
        <v>10</v>
      </c>
      <c r="B1406" s="2" t="s">
        <v>52</v>
      </c>
      <c r="C1406" s="26">
        <v>40000</v>
      </c>
      <c r="D1406" s="10"/>
      <c r="E1406" s="27"/>
      <c r="F1406" s="28"/>
      <c r="G1406" s="28">
        <f>+C1406</f>
        <v>40000</v>
      </c>
      <c r="H1406" s="29">
        <f>SUM(F1406+G1406)</f>
        <v>40000</v>
      </c>
      <c r="I1406" s="10"/>
      <c r="J1406" s="30">
        <f>+H1406</f>
        <v>40000</v>
      </c>
      <c r="K1406" s="28"/>
      <c r="L1406" s="29"/>
    </row>
    <row r="1407" spans="1:12" x14ac:dyDescent="0.2">
      <c r="B1407" s="2"/>
      <c r="C1407" s="26"/>
      <c r="D1407" s="10"/>
      <c r="E1407" s="27"/>
      <c r="F1407" s="28"/>
      <c r="G1407" s="28"/>
      <c r="H1407" s="29"/>
      <c r="I1407" s="10"/>
      <c r="J1407" s="30"/>
      <c r="K1407" s="28"/>
      <c r="L1407" s="29"/>
    </row>
    <row r="1408" spans="1:12" ht="30" x14ac:dyDescent="0.2">
      <c r="A1408" s="55">
        <v>11</v>
      </c>
      <c r="B1408" s="2" t="s">
        <v>53</v>
      </c>
      <c r="C1408" s="26"/>
      <c r="D1408" s="10"/>
      <c r="E1408" s="27"/>
      <c r="F1408" s="28"/>
      <c r="G1408" s="28">
        <f>ROUND((F1390+F1392+F1394+F1396+F1398+F1410+F1414+F1416+F1418+F1421+F1423+F1425+F1427)*0.15,0)</f>
        <v>333060</v>
      </c>
      <c r="H1408" s="60">
        <f>SUM(F1408+G1408)</f>
        <v>333060</v>
      </c>
      <c r="I1408" s="10"/>
      <c r="J1408" s="30">
        <f>ROUND((SUM(F1390:F1398)*0.15),0)</f>
        <v>39398</v>
      </c>
      <c r="K1408" s="32">
        <f>ROUND(SUM(F1410:F1425)*0.15,0)</f>
        <v>228922</v>
      </c>
      <c r="L1408" s="33">
        <f>ROUND(F1427*0.15,0)</f>
        <v>64740</v>
      </c>
    </row>
    <row r="1409" spans="1:12" x14ac:dyDescent="0.2">
      <c r="B1409" s="2"/>
      <c r="C1409" s="26"/>
      <c r="D1409" s="10"/>
      <c r="E1409" s="27"/>
      <c r="F1409" s="28"/>
      <c r="G1409" s="28"/>
      <c r="H1409" s="29"/>
      <c r="I1409" s="10"/>
      <c r="J1409" s="30"/>
      <c r="K1409" s="32"/>
      <c r="L1409" s="33"/>
    </row>
    <row r="1410" spans="1:12" x14ac:dyDescent="0.2">
      <c r="A1410" s="55">
        <v>12</v>
      </c>
      <c r="B1410" s="2" t="s">
        <v>54</v>
      </c>
      <c r="C1410" s="26"/>
      <c r="D1410" s="10"/>
      <c r="E1410" s="27"/>
      <c r="F1410" s="28">
        <f>(F1390+F1392+F1394+F1396+F1398+F1414+F1416+F1418+F1421+F1423+F1425+F1427)*0.2045</f>
        <v>376979.38999999996</v>
      </c>
      <c r="G1410" s="28"/>
      <c r="H1410" s="29">
        <f>(+H1390+H1392+H1394+H1396+H1398+H1414+H1416+H1418+H1421+H1423+H1425+H1427)*0.2045</f>
        <v>376979.38999999996</v>
      </c>
      <c r="I1410" s="10"/>
      <c r="J1410" s="30">
        <f>ROUND((SUM(F1390:F1398)*0.2045),0)</f>
        <v>53712</v>
      </c>
      <c r="K1410" s="32">
        <f>ROUND((SUM(F1414:F1425)*0.2045),0)</f>
        <v>235005</v>
      </c>
      <c r="L1410" s="33">
        <f>ROUND(F1427*0.2045,0)</f>
        <v>88262</v>
      </c>
    </row>
    <row r="1411" spans="1:12" x14ac:dyDescent="0.2">
      <c r="B1411" s="2"/>
      <c r="C1411" s="26"/>
      <c r="D1411" s="10"/>
      <c r="E1411" s="27"/>
      <c r="F1411" s="28"/>
      <c r="G1411" s="28"/>
      <c r="H1411" s="29"/>
      <c r="I1411" s="10"/>
      <c r="J1411" s="30"/>
      <c r="K1411" s="32"/>
      <c r="L1411" s="33"/>
    </row>
    <row r="1412" spans="1:12" x14ac:dyDescent="0.2">
      <c r="A1412" s="55">
        <v>13</v>
      </c>
      <c r="B1412" s="2" t="s">
        <v>55</v>
      </c>
      <c r="C1412" s="26">
        <v>2000</v>
      </c>
      <c r="D1412" s="10"/>
      <c r="E1412" s="27"/>
      <c r="F1412" s="28"/>
      <c r="G1412" s="28">
        <f>E1435*2000</f>
        <v>68000</v>
      </c>
      <c r="H1412" s="29">
        <f>SUM(F1412:G1412)</f>
        <v>68000</v>
      </c>
      <c r="I1412" s="10"/>
      <c r="J1412" s="30">
        <f>(E1390+E1392+E1394+E1396+E1398)*2000</f>
        <v>10000</v>
      </c>
      <c r="K1412" s="32">
        <f>ROUND(SUM(E1416:E1425)*2000,0)</f>
        <v>42000</v>
      </c>
      <c r="L1412" s="33">
        <f>ROUND(E1427*2000,0)</f>
        <v>16000</v>
      </c>
    </row>
    <row r="1413" spans="1:12" x14ac:dyDescent="0.2">
      <c r="B1413" s="2"/>
      <c r="C1413" s="26"/>
      <c r="D1413" s="10"/>
      <c r="E1413" s="27"/>
      <c r="F1413" s="28"/>
      <c r="G1413" s="28"/>
      <c r="H1413" s="29"/>
      <c r="I1413" s="10"/>
      <c r="J1413" s="30"/>
      <c r="K1413" s="32"/>
      <c r="L1413" s="33"/>
    </row>
    <row r="1414" spans="1:12" ht="30" x14ac:dyDescent="0.2">
      <c r="A1414" s="55">
        <v>14</v>
      </c>
      <c r="B1414" s="2" t="s">
        <v>56</v>
      </c>
      <c r="C1414" s="26"/>
      <c r="D1414" s="10"/>
      <c r="E1414" s="27"/>
      <c r="F1414" s="28">
        <f>(F1421+F1425+F1427+F1416)*0.05</f>
        <v>65820</v>
      </c>
      <c r="G1414" s="28"/>
      <c r="H1414" s="29">
        <f>SUM(F1414:G1414)</f>
        <v>65820</v>
      </c>
      <c r="I1414" s="10"/>
      <c r="J1414" s="30"/>
      <c r="K1414" s="32">
        <f>ROUND((+F1416+F1421+F1425)*0.05,0)</f>
        <v>44240</v>
      </c>
      <c r="L1414" s="33">
        <f>ROUND(F1427*0.05,0)</f>
        <v>21580</v>
      </c>
    </row>
    <row r="1415" spans="1:12" x14ac:dyDescent="0.2">
      <c r="B1415" s="2"/>
      <c r="C1415" s="26"/>
      <c r="D1415" s="10"/>
      <c r="E1415" s="27"/>
      <c r="F1415" s="28"/>
      <c r="G1415" s="28"/>
      <c r="H1415" s="29"/>
      <c r="I1415" s="10"/>
      <c r="J1415" s="30"/>
      <c r="K1415" s="28"/>
      <c r="L1415" s="29"/>
    </row>
    <row r="1416" spans="1:12" x14ac:dyDescent="0.2">
      <c r="A1416" s="55">
        <v>15</v>
      </c>
      <c r="B1416" s="2" t="s">
        <v>57</v>
      </c>
      <c r="C1416" s="26">
        <f>+F1382</f>
        <v>59350</v>
      </c>
      <c r="D1416" s="10"/>
      <c r="E1416" s="27">
        <f>ROUND((E1427+E1425+E1423+E1421+E1418)/6,0)</f>
        <v>4</v>
      </c>
      <c r="F1416" s="28">
        <f>F1382*E1416</f>
        <v>237400</v>
      </c>
      <c r="G1416" s="28"/>
      <c r="H1416" s="29">
        <f>SUM(F1416:G1416)</f>
        <v>237400</v>
      </c>
      <c r="I1416" s="10"/>
      <c r="J1416" s="27"/>
      <c r="K1416" s="32">
        <f>ROUND(F1416*((+E$49+E$51+E$53)/(E$49+E$51+E$53+E$55)),0)</f>
        <v>149543</v>
      </c>
      <c r="L1416" s="33">
        <f>ROUND((+F1416*(E$55/(+E$49+E$51+E$53+E$55))),0)</f>
        <v>87857</v>
      </c>
    </row>
    <row r="1417" spans="1:12" x14ac:dyDescent="0.2">
      <c r="B1417" s="2"/>
      <c r="C1417" s="26"/>
      <c r="D1417" s="10"/>
      <c r="E1417" s="27"/>
      <c r="F1417" s="28"/>
      <c r="G1417" s="28"/>
      <c r="H1417" s="29"/>
      <c r="I1417" s="10"/>
      <c r="J1417" s="30"/>
      <c r="K1417" s="28"/>
      <c r="L1417" s="29"/>
    </row>
    <row r="1418" spans="1:12" x14ac:dyDescent="0.2">
      <c r="A1418" s="55">
        <v>16</v>
      </c>
      <c r="B1418" s="2" t="s">
        <v>58</v>
      </c>
      <c r="C1418" s="26">
        <f>+F1383</f>
        <v>36150</v>
      </c>
      <c r="D1418" s="10"/>
      <c r="E1418" s="27">
        <f>ROUND((E1427+E1425+E1423+E1421)/5,0)</f>
        <v>4</v>
      </c>
      <c r="F1418" s="28">
        <f>F1383*E1418</f>
        <v>144600</v>
      </c>
      <c r="G1418" s="28"/>
      <c r="H1418" s="29">
        <f>SUM(F1418:G1418)</f>
        <v>144600</v>
      </c>
      <c r="I1418" s="10"/>
      <c r="J1418" s="30"/>
      <c r="K1418" s="32">
        <f>ROUND(F1418*((+E$49+E$51+E$53)/(E$49+E$51+E$53+E$55)),0)</f>
        <v>91087</v>
      </c>
      <c r="L1418" s="33">
        <f>ROUND((+F1418*(E$55/(+E$49+E$51+E$53+E$55))),0)</f>
        <v>53513</v>
      </c>
    </row>
    <row r="1419" spans="1:12" x14ac:dyDescent="0.2">
      <c r="B1419" s="2"/>
      <c r="C1419" s="26"/>
      <c r="D1419" s="10"/>
      <c r="E1419" s="27"/>
      <c r="F1419" s="28"/>
      <c r="G1419" s="28"/>
      <c r="H1419" s="29"/>
      <c r="I1419" s="10"/>
      <c r="J1419" s="30"/>
      <c r="K1419" s="28"/>
      <c r="L1419" s="29"/>
    </row>
    <row r="1420" spans="1:12" ht="15.75" x14ac:dyDescent="0.25">
      <c r="A1420" s="18" t="s">
        <v>59</v>
      </c>
      <c r="B1420" s="2"/>
      <c r="C1420" s="26"/>
      <c r="D1420" s="10"/>
      <c r="E1420" s="27"/>
      <c r="F1420" s="28"/>
      <c r="G1420" s="28"/>
      <c r="H1420" s="29"/>
      <c r="I1420" s="10"/>
      <c r="J1420" s="30"/>
      <c r="K1420" s="28"/>
      <c r="L1420" s="29"/>
    </row>
    <row r="1421" spans="1:12" x14ac:dyDescent="0.2">
      <c r="A1421" s="36">
        <v>17</v>
      </c>
      <c r="B1421" s="37" t="s">
        <v>60</v>
      </c>
      <c r="C1421" s="38">
        <f>+F1381</f>
        <v>53950</v>
      </c>
      <c r="D1421" s="39"/>
      <c r="E1421" s="40">
        <f>ROUND(C1377/30,0)</f>
        <v>5</v>
      </c>
      <c r="F1421" s="41">
        <f>F1381*E1421</f>
        <v>269750</v>
      </c>
      <c r="G1421" s="41"/>
      <c r="H1421" s="35">
        <f>SUM(F1421:G1421)</f>
        <v>269750</v>
      </c>
      <c r="I1421" s="39"/>
      <c r="J1421" s="42"/>
      <c r="K1421" s="28">
        <f>F1381*E1421</f>
        <v>269750</v>
      </c>
      <c r="L1421" s="29"/>
    </row>
    <row r="1422" spans="1:12" x14ac:dyDescent="0.2">
      <c r="A1422" s="37"/>
      <c r="B1422" s="37"/>
      <c r="C1422" s="26"/>
      <c r="D1422" s="10"/>
      <c r="E1422" s="27"/>
      <c r="F1422" s="28"/>
      <c r="G1422" s="28"/>
      <c r="H1422" s="29"/>
      <c r="I1422" s="10"/>
      <c r="J1422" s="30"/>
      <c r="K1422" s="28"/>
      <c r="L1422" s="29"/>
    </row>
    <row r="1423" spans="1:12" ht="30" x14ac:dyDescent="0.2">
      <c r="A1423" s="36">
        <v>18</v>
      </c>
      <c r="B1423" s="37" t="s">
        <v>61</v>
      </c>
      <c r="C1423" s="26">
        <f>+F1381</f>
        <v>53950</v>
      </c>
      <c r="D1423" s="10"/>
      <c r="E1423" s="27">
        <v>1</v>
      </c>
      <c r="F1423" s="28">
        <f>F1381*E1423</f>
        <v>53950</v>
      </c>
      <c r="G1423" s="28"/>
      <c r="H1423" s="29">
        <f>SUM(F1423:G1423)</f>
        <v>53950</v>
      </c>
      <c r="I1423" s="10"/>
      <c r="J1423" s="30" t="s">
        <v>62</v>
      </c>
      <c r="K1423" s="28">
        <f>ROUND(E1423*F1381,0)</f>
        <v>53950</v>
      </c>
      <c r="L1423" s="29"/>
    </row>
    <row r="1424" spans="1:12" x14ac:dyDescent="0.2">
      <c r="A1424" s="37"/>
      <c r="B1424" s="37"/>
      <c r="C1424" s="26"/>
      <c r="D1424" s="10"/>
      <c r="E1424" s="27"/>
      <c r="F1424" s="28"/>
      <c r="G1424" s="28"/>
      <c r="H1424" s="29"/>
      <c r="I1424" s="10"/>
      <c r="J1424" s="30"/>
      <c r="K1424" s="28"/>
      <c r="L1424" s="29"/>
    </row>
    <row r="1425" spans="1:12" x14ac:dyDescent="0.2">
      <c r="A1425" s="37">
        <v>19</v>
      </c>
      <c r="B1425" s="37" t="s">
        <v>63</v>
      </c>
      <c r="C1425" s="26">
        <f>+F1381</f>
        <v>53950</v>
      </c>
      <c r="D1425" s="10"/>
      <c r="E1425" s="27">
        <f>ROUND(C1377/20,0)</f>
        <v>7</v>
      </c>
      <c r="F1425" s="28">
        <f>F1381*E1425</f>
        <v>377650</v>
      </c>
      <c r="G1425" s="28"/>
      <c r="H1425" s="29">
        <f>SUM(F1425:G1425)</f>
        <v>377650</v>
      </c>
      <c r="I1425" s="10"/>
      <c r="J1425" s="30"/>
      <c r="K1425" s="28">
        <f>F1381*E1425</f>
        <v>377650</v>
      </c>
      <c r="L1425" s="29"/>
    </row>
    <row r="1426" spans="1:12" x14ac:dyDescent="0.2">
      <c r="A1426" s="37"/>
      <c r="B1426" s="37"/>
      <c r="C1426" s="26"/>
      <c r="D1426" s="10"/>
      <c r="E1426" s="27"/>
      <c r="F1426" s="28"/>
      <c r="G1426" s="28"/>
      <c r="H1426" s="29"/>
      <c r="I1426" s="10"/>
      <c r="J1426" s="30"/>
      <c r="K1426" s="28"/>
      <c r="L1426" s="29"/>
    </row>
    <row r="1427" spans="1:12" x14ac:dyDescent="0.2">
      <c r="A1427" s="37">
        <v>20</v>
      </c>
      <c r="B1427" s="37" t="s">
        <v>64</v>
      </c>
      <c r="C1427" s="26">
        <f>+F1381</f>
        <v>53950</v>
      </c>
      <c r="D1427" s="10"/>
      <c r="E1427" s="27">
        <f>ROUND(C1378/20,0)</f>
        <v>8</v>
      </c>
      <c r="F1427" s="28">
        <f>F1381*E1427</f>
        <v>431600</v>
      </c>
      <c r="G1427" s="28"/>
      <c r="H1427" s="29">
        <f>SUM(F1427:G1427)</f>
        <v>431600</v>
      </c>
      <c r="I1427" s="10"/>
      <c r="J1427" s="30"/>
      <c r="K1427" s="28"/>
      <c r="L1427" s="29">
        <f>F1381*E1427</f>
        <v>431600</v>
      </c>
    </row>
    <row r="1428" spans="1:12" x14ac:dyDescent="0.2">
      <c r="A1428" s="37"/>
      <c r="B1428" s="37"/>
      <c r="C1428" s="26"/>
      <c r="D1428" s="10"/>
      <c r="E1428" s="27"/>
      <c r="F1428" s="28"/>
      <c r="G1428" s="28"/>
      <c r="H1428" s="29"/>
      <c r="I1428" s="10"/>
      <c r="J1428" s="30"/>
      <c r="K1428" s="28"/>
      <c r="L1428" s="29"/>
    </row>
    <row r="1429" spans="1:12" x14ac:dyDescent="0.2">
      <c r="A1429" s="37">
        <v>21</v>
      </c>
      <c r="B1429" s="37" t="s">
        <v>65</v>
      </c>
      <c r="C1429" s="31"/>
      <c r="D1429" s="43"/>
      <c r="E1429" s="27"/>
      <c r="F1429" s="28"/>
      <c r="G1429" s="28">
        <f>ROUND(125*C1376,0)</f>
        <v>308250</v>
      </c>
      <c r="H1429" s="29">
        <f>SUM(F1429:G1429)</f>
        <v>308250</v>
      </c>
      <c r="I1429" s="10"/>
      <c r="J1429" s="30" t="s">
        <v>62</v>
      </c>
      <c r="K1429" s="29">
        <f>ROUND(125/2*C1376,0)</f>
        <v>154125</v>
      </c>
      <c r="L1429" s="29">
        <f>ROUND(125/2*C1376,0)</f>
        <v>154125</v>
      </c>
    </row>
    <row r="1430" spans="1:12" x14ac:dyDescent="0.2">
      <c r="A1430" s="37"/>
      <c r="B1430" s="37"/>
      <c r="C1430" s="26"/>
      <c r="D1430" s="10"/>
      <c r="E1430" s="27"/>
      <c r="F1430" s="28"/>
      <c r="G1430" s="28"/>
      <c r="H1430" s="29"/>
      <c r="I1430" s="10"/>
      <c r="J1430" s="30"/>
      <c r="K1430" s="28"/>
      <c r="L1430" s="29"/>
    </row>
    <row r="1431" spans="1:12" x14ac:dyDescent="0.2">
      <c r="A1431" s="37">
        <v>22</v>
      </c>
      <c r="B1431" s="37" t="s">
        <v>66</v>
      </c>
      <c r="C1431" s="26">
        <v>10000</v>
      </c>
      <c r="D1431" s="10"/>
      <c r="E1431" s="27"/>
      <c r="F1431" s="28"/>
      <c r="G1431" s="28">
        <f>((E1390+E1416+E1421+E1423+E1425+E1427)*10000)</f>
        <v>260000</v>
      </c>
      <c r="H1431" s="29">
        <f>SUM(F1431:G1431)</f>
        <v>260000</v>
      </c>
      <c r="I1431" s="10"/>
      <c r="J1431" s="30">
        <f>ROUND(10000*E1390,0)</f>
        <v>10000</v>
      </c>
      <c r="K1431" s="32">
        <f>(ROUND(10000*(+E1425+E1423+E1421+E1416),0))</f>
        <v>170000</v>
      </c>
      <c r="L1431" s="33">
        <f>ROUND(10000*E1427,0)</f>
        <v>80000</v>
      </c>
    </row>
    <row r="1432" spans="1:12" x14ac:dyDescent="0.2">
      <c r="A1432" s="37"/>
      <c r="B1432" s="37"/>
      <c r="C1432" s="26"/>
      <c r="D1432" s="10"/>
      <c r="E1432" s="27"/>
      <c r="F1432" s="28"/>
      <c r="G1432" s="28"/>
      <c r="H1432" s="29"/>
      <c r="I1432" s="10"/>
      <c r="J1432" s="30"/>
      <c r="K1432" s="32"/>
      <c r="L1432" s="33"/>
    </row>
    <row r="1433" spans="1:12" x14ac:dyDescent="0.2">
      <c r="A1433" s="37">
        <v>23</v>
      </c>
      <c r="B1433" s="37" t="s">
        <v>82</v>
      </c>
      <c r="C1433" s="26"/>
      <c r="D1433" s="10"/>
      <c r="E1433" s="27"/>
      <c r="F1433" s="28"/>
      <c r="G1433" s="28">
        <v>64500</v>
      </c>
      <c r="H1433" s="29">
        <f>+G1433</f>
        <v>64500</v>
      </c>
      <c r="I1433" s="10"/>
      <c r="J1433" s="30"/>
      <c r="K1433" s="32"/>
      <c r="L1433" s="33">
        <f>+H1433</f>
        <v>64500</v>
      </c>
    </row>
    <row r="1434" spans="1:12" x14ac:dyDescent="0.2">
      <c r="B1434" s="2"/>
      <c r="C1434" s="26"/>
      <c r="D1434" s="10"/>
      <c r="E1434" s="27"/>
      <c r="F1434" s="28"/>
      <c r="G1434" s="28"/>
      <c r="H1434" s="29"/>
      <c r="I1434" s="10"/>
      <c r="J1434" s="30"/>
      <c r="K1434" s="28"/>
      <c r="L1434" s="29"/>
    </row>
    <row r="1435" spans="1:12" ht="15.75" x14ac:dyDescent="0.25">
      <c r="B1435" s="3" t="s">
        <v>67</v>
      </c>
      <c r="C1435" s="44"/>
      <c r="D1435" s="10"/>
      <c r="E1435" s="45">
        <f>SUM(E1388:E1431)</f>
        <v>34</v>
      </c>
      <c r="F1435" s="46">
        <f>SUM(F1388:F1433)</f>
        <v>2220399.3899999997</v>
      </c>
      <c r="G1435" s="46">
        <f>SUM(G1388:G1433)</f>
        <v>1166810</v>
      </c>
      <c r="H1435" s="47">
        <f>SUM(H1388:H1434)</f>
        <v>3387209.3899999997</v>
      </c>
      <c r="I1435" s="10"/>
      <c r="J1435" s="48">
        <f>SUM(J1388:J1433)</f>
        <v>508760</v>
      </c>
      <c r="K1435" s="46">
        <f>SUM(K1388:K1434)</f>
        <v>1816272</v>
      </c>
      <c r="L1435" s="47">
        <f>SUM(L1388:L1434)</f>
        <v>1062177</v>
      </c>
    </row>
    <row r="1436" spans="1:12" x14ac:dyDescent="0.2">
      <c r="B1436" s="49"/>
      <c r="J1436" s="50"/>
      <c r="L1436" s="50"/>
    </row>
    <row r="1437" spans="1:12" x14ac:dyDescent="0.2">
      <c r="B1437" s="49"/>
      <c r="J1437" s="50"/>
      <c r="L1437" s="50"/>
    </row>
    <row r="1438" spans="1:12" x14ac:dyDescent="0.2">
      <c r="A1438" s="37">
        <v>24</v>
      </c>
      <c r="B1438" s="55" t="s">
        <v>68</v>
      </c>
      <c r="C1438" s="8"/>
      <c r="D1438" s="8"/>
      <c r="E1438" s="11"/>
      <c r="L1438" s="10">
        <f>+J1435+K1435+L1435</f>
        <v>3387209</v>
      </c>
    </row>
    <row r="1439" spans="1:12" x14ac:dyDescent="0.2">
      <c r="A1439" s="37">
        <v>25</v>
      </c>
      <c r="B1439" s="55" t="s">
        <v>69</v>
      </c>
      <c r="C1439" s="7"/>
      <c r="D1439" s="7"/>
      <c r="E1439" s="11"/>
      <c r="L1439" s="10">
        <v>2315811</v>
      </c>
    </row>
    <row r="1440" spans="1:12" ht="15.75" x14ac:dyDescent="0.25">
      <c r="A1440" s="37">
        <v>26</v>
      </c>
      <c r="B1440" s="55" t="s">
        <v>182</v>
      </c>
      <c r="C1440" s="7"/>
      <c r="D1440" s="7"/>
      <c r="E1440" s="11"/>
      <c r="J1440" s="10" t="s">
        <v>62</v>
      </c>
      <c r="L1440" s="51">
        <f>+L1438-L1439</f>
        <v>1071398</v>
      </c>
    </row>
    <row r="1441" spans="1:12" x14ac:dyDescent="0.2">
      <c r="B1441" s="8"/>
      <c r="C1441" s="7"/>
      <c r="D1441" s="7"/>
      <c r="E1441" s="11"/>
      <c r="J1441" s="10"/>
      <c r="L1441" s="10"/>
    </row>
    <row r="1442" spans="1:12" ht="78.75" x14ac:dyDescent="0.25">
      <c r="B1442" s="8"/>
      <c r="C1442" s="7"/>
      <c r="D1442" s="7"/>
      <c r="E1442" s="11"/>
      <c r="J1442" s="51" t="s">
        <v>71</v>
      </c>
      <c r="K1442" s="52" t="s">
        <v>72</v>
      </c>
      <c r="L1442" s="53" t="s">
        <v>73</v>
      </c>
    </row>
    <row r="1443" spans="1:12" ht="15.75" x14ac:dyDescent="0.25">
      <c r="B1443" s="8" t="s">
        <v>74</v>
      </c>
      <c r="C1443" s="7"/>
      <c r="D1443" s="7"/>
      <c r="E1443" s="11"/>
      <c r="J1443" s="10">
        <f>+J1435+K1435</f>
        <v>2325032</v>
      </c>
      <c r="K1443" s="10">
        <f>+L1439</f>
        <v>2315811</v>
      </c>
      <c r="L1443" s="51">
        <f>+J1443-K1443</f>
        <v>9221</v>
      </c>
    </row>
    <row r="1444" spans="1:12" ht="15.75" x14ac:dyDescent="0.25">
      <c r="B1444" s="54" t="s">
        <v>75</v>
      </c>
      <c r="C1444" s="7"/>
      <c r="D1444" s="7"/>
      <c r="E1444" s="11"/>
      <c r="J1444" s="10">
        <f>+L1435</f>
        <v>1062177</v>
      </c>
      <c r="K1444" s="10" t="s">
        <v>62</v>
      </c>
      <c r="L1444" s="51">
        <f>+J1444</f>
        <v>1062177</v>
      </c>
    </row>
    <row r="1448" spans="1:12" x14ac:dyDescent="0.2">
      <c r="A1448" s="1" t="s">
        <v>23</v>
      </c>
      <c r="B1448" s="2"/>
    </row>
    <row r="1449" spans="1:12" ht="15.75" x14ac:dyDescent="0.25">
      <c r="A1449" s="56" t="s">
        <v>24</v>
      </c>
      <c r="B1449" s="3"/>
      <c r="C1449" s="56" t="s">
        <v>0</v>
      </c>
    </row>
    <row r="1450" spans="1:12" x14ac:dyDescent="0.2">
      <c r="A1450" s="55" t="s">
        <v>26</v>
      </c>
      <c r="B1450" s="2"/>
    </row>
    <row r="1451" spans="1:12" x14ac:dyDescent="0.2">
      <c r="B1451" s="2"/>
      <c r="C1451" s="4"/>
      <c r="D1451" s="4"/>
    </row>
    <row r="1452" spans="1:12" x14ac:dyDescent="0.2">
      <c r="B1452" s="2"/>
      <c r="C1452" s="5"/>
      <c r="D1452" s="5"/>
    </row>
    <row r="1453" spans="1:12" ht="15.75" x14ac:dyDescent="0.25">
      <c r="A1453" s="55" t="s">
        <v>27</v>
      </c>
      <c r="B1453" s="2"/>
      <c r="C1453" s="6">
        <f>+C77+C153+C229+C306+C382+C458+C534+C610+C686+C762+C838+C915+C992+C1069+C1146+C1223+C1299+C1376</f>
        <v>27753</v>
      </c>
      <c r="D1453" s="4"/>
      <c r="E1453" s="7"/>
    </row>
    <row r="1454" spans="1:12" ht="15.75" x14ac:dyDescent="0.25">
      <c r="A1454" s="55" t="s">
        <v>28</v>
      </c>
      <c r="B1454" s="2"/>
      <c r="C1454" s="6">
        <f>+C78+C154+C230+C307+C383+C459+C535+C611+C687+C763+C839+C916+C993+C1070+C1147+C1224+C1300+C1377</f>
        <v>1665.18</v>
      </c>
      <c r="D1454" s="4"/>
      <c r="E1454" s="7"/>
    </row>
    <row r="1455" spans="1:12" ht="15.75" x14ac:dyDescent="0.25">
      <c r="A1455" s="55" t="s">
        <v>29</v>
      </c>
      <c r="B1455" s="2"/>
      <c r="C1455" s="6">
        <f>+C79+C155+C231+C308+C384+C460+C536+C612+C688+C764+C840+C917+C994+C1071+C1148+C1225+C1301+C1378</f>
        <v>1850.2000000000003</v>
      </c>
      <c r="D1455" s="6"/>
      <c r="E1455" s="7"/>
    </row>
    <row r="1456" spans="1:12" ht="15.75" x14ac:dyDescent="0.25">
      <c r="B1456" s="2" t="s">
        <v>30</v>
      </c>
      <c r="C1456" s="6"/>
      <c r="D1456" s="4"/>
      <c r="E1456" s="7"/>
    </row>
    <row r="1457" spans="1:12" x14ac:dyDescent="0.2">
      <c r="B1457" s="2"/>
    </row>
    <row r="1458" spans="1:12" x14ac:dyDescent="0.2">
      <c r="A1458" s="7" t="s">
        <v>31</v>
      </c>
      <c r="B1458" s="8"/>
      <c r="D1458" s="9"/>
      <c r="F1458" s="9">
        <v>53950</v>
      </c>
      <c r="H1458" s="10"/>
      <c r="I1458" s="10"/>
    </row>
    <row r="1459" spans="1:12" x14ac:dyDescent="0.2">
      <c r="A1459" s="7" t="s">
        <v>32</v>
      </c>
      <c r="B1459" s="8"/>
      <c r="D1459" s="9"/>
      <c r="F1459" s="9">
        <v>59350</v>
      </c>
      <c r="H1459" s="10"/>
      <c r="I1459" s="10"/>
    </row>
    <row r="1460" spans="1:12" x14ac:dyDescent="0.2">
      <c r="A1460" s="7" t="s">
        <v>33</v>
      </c>
      <c r="B1460" s="8"/>
      <c r="D1460" s="9"/>
      <c r="F1460" s="9">
        <v>36150</v>
      </c>
      <c r="H1460" s="10"/>
      <c r="I1460" s="10"/>
    </row>
    <row r="1461" spans="1:12" x14ac:dyDescent="0.2">
      <c r="A1461" s="7"/>
      <c r="B1461" s="8"/>
      <c r="C1461" s="11"/>
      <c r="D1461" s="11"/>
      <c r="H1461" s="10"/>
      <c r="I1461" s="10"/>
    </row>
    <row r="1462" spans="1:12" ht="15.75" x14ac:dyDescent="0.25">
      <c r="B1462" s="2"/>
      <c r="J1462" s="12" t="s">
        <v>34</v>
      </c>
      <c r="K1462" s="412" t="s">
        <v>35</v>
      </c>
      <c r="L1462" s="413"/>
    </row>
    <row r="1463" spans="1:12" ht="31.5" x14ac:dyDescent="0.25">
      <c r="A1463" s="56" t="s">
        <v>36</v>
      </c>
      <c r="B1463" s="13"/>
      <c r="C1463" s="14" t="s">
        <v>37</v>
      </c>
      <c r="D1463" s="15"/>
      <c r="E1463" s="12" t="s">
        <v>38</v>
      </c>
      <c r="F1463" s="12" t="s">
        <v>39</v>
      </c>
      <c r="G1463" s="12" t="s">
        <v>40</v>
      </c>
      <c r="H1463" s="12" t="s">
        <v>0</v>
      </c>
      <c r="I1463" s="16"/>
      <c r="J1463" s="14" t="s">
        <v>41</v>
      </c>
      <c r="K1463" s="17" t="s">
        <v>42</v>
      </c>
      <c r="L1463" s="12" t="s">
        <v>43</v>
      </c>
    </row>
    <row r="1464" spans="1:12" ht="15.75" x14ac:dyDescent="0.25">
      <c r="A1464" s="18"/>
      <c r="B1464" s="13"/>
      <c r="C1464" s="19"/>
      <c r="D1464" s="15"/>
      <c r="E1464" s="61"/>
      <c r="F1464" s="21"/>
      <c r="G1464" s="21"/>
      <c r="H1464" s="62"/>
      <c r="I1464" s="16"/>
      <c r="J1464" s="23"/>
      <c r="K1464" s="24"/>
      <c r="L1464" s="25"/>
    </row>
    <row r="1465" spans="1:12" x14ac:dyDescent="0.2">
      <c r="A1465" s="55">
        <v>1</v>
      </c>
      <c r="B1465" s="2" t="s">
        <v>44</v>
      </c>
      <c r="C1465" s="26">
        <v>50000</v>
      </c>
      <c r="D1465" s="10"/>
      <c r="E1465" s="27"/>
      <c r="F1465" s="28"/>
      <c r="G1465" s="4">
        <f>+G89+G165+G241+G318+G394+G470+G546+G622+G698+G774+G850+G927+G1004+G1081+G1158+G1235+G1311+G1388</f>
        <v>900000</v>
      </c>
      <c r="H1465" s="63">
        <f>+H89+H165+H241+H318+H394+H470+H546+H622+H698+H774+H850+H927+H1004+H1081+H1158+H1235+H1311+H1388</f>
        <v>900000</v>
      </c>
      <c r="I1465" s="10"/>
      <c r="J1465" s="64">
        <f>+J89+J165+J241+J318+J394+J470+J546+J622+J698+J774+J850+J927+J1004+J1081+J1158+J1235+J1311+J1388</f>
        <v>900000</v>
      </c>
      <c r="K1465" s="28"/>
      <c r="L1465" s="29"/>
    </row>
    <row r="1466" spans="1:12" x14ac:dyDescent="0.2">
      <c r="B1466" s="2"/>
      <c r="C1466" s="26"/>
      <c r="D1466" s="10"/>
      <c r="E1466" s="27"/>
      <c r="F1466" s="28"/>
      <c r="G1466" s="28"/>
      <c r="H1466" s="29"/>
      <c r="I1466" s="10"/>
      <c r="J1466" s="30"/>
      <c r="K1466" s="28"/>
      <c r="L1466" s="29"/>
    </row>
    <row r="1467" spans="1:12" x14ac:dyDescent="0.2">
      <c r="A1467" s="55">
        <v>2</v>
      </c>
      <c r="B1467" s="2" t="s">
        <v>45</v>
      </c>
      <c r="C1467" s="26">
        <v>77000</v>
      </c>
      <c r="D1467" s="10"/>
      <c r="E1467" s="64">
        <f>+E91+E167+E243+E320+E396+E472+E548+E624+E700+E776+E852+E929+E1006+E1083+E1160+E1237+E1313+E1390</f>
        <v>18</v>
      </c>
      <c r="F1467" s="4">
        <f>+F91+F167+F243+F320+F396+F472+F548+F624+F700+F776+F852+F929+F1006+F1083+F1160+F1237+F1313+F1390</f>
        <v>1386000</v>
      </c>
      <c r="G1467" s="28"/>
      <c r="H1467" s="63">
        <f>+H91+H167+H243+H320+H396+H472+H548+H624+H700+H776+H852+H929+H1006+H1083+H1160+H1237+H1313+H1390</f>
        <v>1386000</v>
      </c>
      <c r="I1467" s="10"/>
      <c r="J1467" s="64">
        <f>+J91+J167+J243+J320+J396+J472+J548+J624+J700+J776+J852+J929+J1006+J1083+J1160+J1237+J1313+J1390</f>
        <v>1386000</v>
      </c>
      <c r="K1467" s="28"/>
      <c r="L1467" s="29"/>
    </row>
    <row r="1468" spans="1:12" x14ac:dyDescent="0.2">
      <c r="B1468" s="2"/>
      <c r="C1468" s="26"/>
      <c r="D1468" s="10"/>
      <c r="E1468" s="64"/>
      <c r="F1468" s="4"/>
      <c r="G1468" s="28"/>
      <c r="H1468" s="63"/>
      <c r="I1468" s="10"/>
      <c r="J1468" s="64"/>
      <c r="K1468" s="28"/>
      <c r="L1468" s="29"/>
    </row>
    <row r="1469" spans="1:12" ht="30" x14ac:dyDescent="0.2">
      <c r="A1469" s="55">
        <v>3</v>
      </c>
      <c r="B1469" s="2" t="s">
        <v>81</v>
      </c>
      <c r="C1469" s="26"/>
      <c r="D1469" s="10"/>
      <c r="E1469" s="64"/>
      <c r="F1469" s="4">
        <f>+F93+F169+F245+F322+F398+F474+F550+F626+F702+F778+F854+F931+F1008+F1085+F1162+F1239+F1315+F1392</f>
        <v>1068300</v>
      </c>
      <c r="G1469" s="28"/>
      <c r="H1469" s="63">
        <f>+H93+H169+H245+H322+H398+H474+H550+H626+H702+H778+H854+H931+H1008+H1085+H1162+H1239+H1315+H1392</f>
        <v>1068300</v>
      </c>
      <c r="I1469" s="10"/>
      <c r="J1469" s="64">
        <f>+J93+J169+J245+J322+J398+J474+J550+J626+J702+J778+J854+J931+J1008+J1085+J1162+J1239+J1315+J1392</f>
        <v>1068300</v>
      </c>
      <c r="K1469" s="28"/>
      <c r="L1469" s="29"/>
    </row>
    <row r="1470" spans="1:12" x14ac:dyDescent="0.2">
      <c r="B1470" s="2"/>
      <c r="C1470" s="26"/>
      <c r="D1470" s="10"/>
      <c r="E1470" s="27"/>
      <c r="F1470" s="28"/>
      <c r="G1470" s="28"/>
      <c r="H1470" s="29"/>
      <c r="I1470" s="10"/>
      <c r="J1470" s="30"/>
      <c r="K1470" s="28"/>
      <c r="L1470" s="29"/>
    </row>
    <row r="1471" spans="1:12" x14ac:dyDescent="0.2">
      <c r="A1471" s="55">
        <v>4</v>
      </c>
      <c r="B1471" s="2" t="s">
        <v>46</v>
      </c>
      <c r="C1471" s="26">
        <v>39300</v>
      </c>
      <c r="D1471" s="10"/>
      <c r="E1471" s="64">
        <f>+E95+E171+E247+E324+E400+E476+E552+E628+E704+E780+E856+E933+E1010+E1087+E1164+E1241+E1317+E1394</f>
        <v>16</v>
      </c>
      <c r="F1471" s="4">
        <f>+F95+F171+F247+F324+F400+F476+F552+F628+F704+F780+F856+F933+F1010+F1087+F1164+F1241+F1317+F1394</f>
        <v>628800</v>
      </c>
      <c r="G1471" s="28"/>
      <c r="H1471" s="63">
        <f>+H95+H171+H247+H324+H400+H476+H552+H628+H704+H780+H856+H933+H1010+H1087+H1164+H1241+H1317+H1394</f>
        <v>628800</v>
      </c>
      <c r="I1471" s="10"/>
      <c r="J1471" s="64">
        <f>+J95+J171+J247+J324+J400+J476+J552+J628+J704+J780+J856+J933+J1010+J1087+J1164+J1241+J1317+J1394</f>
        <v>628800</v>
      </c>
      <c r="K1471" s="28"/>
      <c r="L1471" s="29"/>
    </row>
    <row r="1472" spans="1:12" x14ac:dyDescent="0.2">
      <c r="B1472" s="2"/>
      <c r="C1472" s="26"/>
      <c r="D1472" s="10"/>
      <c r="E1472" s="27"/>
      <c r="F1472" s="28"/>
      <c r="G1472" s="28"/>
      <c r="H1472" s="29"/>
      <c r="I1472" s="10"/>
      <c r="J1472" s="30"/>
      <c r="K1472" s="28"/>
      <c r="L1472" s="29"/>
    </row>
    <row r="1473" spans="1:12" x14ac:dyDescent="0.2">
      <c r="A1473" s="55">
        <v>5</v>
      </c>
      <c r="B1473" s="2" t="s">
        <v>47</v>
      </c>
      <c r="C1473" s="26">
        <v>36000</v>
      </c>
      <c r="D1473" s="10"/>
      <c r="E1473" s="64">
        <f>+E97+E173+E249+E326+E402+E478+E554+E630+E706+E782+E858+E935+E1012+E1089+E1166+E1243+E1319+E1396</f>
        <v>16</v>
      </c>
      <c r="F1473" s="4">
        <f>+F97+F173+F249+F326+F402+F478+F554+F630+F706+F782+F858+F935+F1012+F1089+F1166+F1243+F1319+F1396</f>
        <v>576000</v>
      </c>
      <c r="G1473" s="28"/>
      <c r="H1473" s="63">
        <f>+H97+H173+H249+H326+H402+H478+H554+H630+H706+H782+H858+H935+H1012+H1089+H1166+H1243+H1319+H1396</f>
        <v>576000</v>
      </c>
      <c r="I1473" s="10"/>
      <c r="J1473" s="64">
        <f>+J97+J173+J249+J326+J402+J478+J554+J630+J706+J782+J858+J935+J1012+J1089+J1166+J1243+J1319+J1396</f>
        <v>576000</v>
      </c>
      <c r="K1473" s="28"/>
      <c r="L1473" s="29"/>
    </row>
    <row r="1474" spans="1:12" x14ac:dyDescent="0.2">
      <c r="B1474" s="2"/>
      <c r="C1474" s="26"/>
      <c r="D1474" s="10"/>
      <c r="E1474" s="27"/>
      <c r="F1474" s="28"/>
      <c r="G1474" s="28"/>
      <c r="H1474" s="29"/>
      <c r="I1474" s="10"/>
      <c r="J1474" s="30"/>
      <c r="K1474" s="28"/>
      <c r="L1474" s="29"/>
    </row>
    <row r="1475" spans="1:12" x14ac:dyDescent="0.2">
      <c r="A1475" s="55">
        <v>6</v>
      </c>
      <c r="B1475" s="2" t="s">
        <v>48</v>
      </c>
      <c r="C1475" s="26">
        <v>51000</v>
      </c>
      <c r="D1475" s="10"/>
      <c r="E1475" s="64">
        <f>+E99+E175+E251+E328+E404+E480+E556+E632+E708+E784+E860+E937+E1014+E1091+E1168+E1245+E1321+E1398</f>
        <v>17.5</v>
      </c>
      <c r="F1475" s="4">
        <f>+F99+F175+F251+F328+F404+F480+F556+F632+F708+F784+F860+F937+F1014+F1091+F1168+F1245+F1321+F1398</f>
        <v>892500</v>
      </c>
      <c r="G1475" s="28"/>
      <c r="H1475" s="63">
        <f>+H99+H175+H251+H328+H404+H480+H556+H632+H708+H784+H860+H937+H1014+H1091+H1168+H1245+H1321+H1398</f>
        <v>892500</v>
      </c>
      <c r="I1475" s="10"/>
      <c r="J1475" s="64">
        <f>+J99+J175+J251+J328+J404+J480+J556+J632+J708+J784+J860+J937+J1014+J1091+J1168+J1245+J1321+J1398</f>
        <v>892500</v>
      </c>
      <c r="K1475" s="28"/>
      <c r="L1475" s="29"/>
    </row>
    <row r="1476" spans="1:12" x14ac:dyDescent="0.2">
      <c r="B1476" s="2"/>
      <c r="C1476" s="26"/>
      <c r="D1476" s="10"/>
      <c r="E1476" s="27"/>
      <c r="F1476" s="28"/>
      <c r="G1476" s="28"/>
      <c r="H1476" s="29"/>
      <c r="I1476" s="10"/>
      <c r="J1476" s="30"/>
      <c r="K1476" s="28"/>
      <c r="L1476" s="29"/>
    </row>
    <row r="1477" spans="1:12" x14ac:dyDescent="0.2">
      <c r="A1477" s="55">
        <v>7</v>
      </c>
      <c r="B1477" s="2" t="s">
        <v>49</v>
      </c>
      <c r="C1477" s="31">
        <v>0</v>
      </c>
      <c r="D1477" s="10"/>
      <c r="E1477" s="27"/>
      <c r="F1477" s="28"/>
      <c r="G1477" s="4">
        <f>+G101+G177+G253+G330+G406+G482+G558+G634+G710+G786+G862+G939+G1016+G1093+G1170+G1247+G1323+G1400</f>
        <v>0</v>
      </c>
      <c r="H1477" s="63">
        <f>+H101+H177+H253+H330+H406+H482+H558+H634+H710+H786+H862+H939+H1016+H1093+H1170+H1247+H1323+H1400</f>
        <v>0</v>
      </c>
      <c r="I1477" s="10"/>
      <c r="J1477" s="64">
        <f>+J101+J177+J253+J330+J406+J482+J558+J634+J710+J786+J862+J939+J1016+J1093+J1170+J1247+J1323+J1400</f>
        <v>0</v>
      </c>
      <c r="K1477" s="32">
        <v>0</v>
      </c>
      <c r="L1477" s="33">
        <v>0</v>
      </c>
    </row>
    <row r="1478" spans="1:12" x14ac:dyDescent="0.2">
      <c r="B1478" s="2"/>
      <c r="C1478" s="26"/>
      <c r="D1478" s="10"/>
      <c r="E1478" s="27"/>
      <c r="F1478" s="28"/>
      <c r="G1478" s="28"/>
      <c r="H1478" s="29"/>
      <c r="I1478" s="10"/>
      <c r="J1478" s="30"/>
      <c r="K1478" s="28"/>
      <c r="L1478" s="29"/>
    </row>
    <row r="1479" spans="1:12" x14ac:dyDescent="0.2">
      <c r="A1479" s="55">
        <v>8</v>
      </c>
      <c r="B1479" s="2" t="s">
        <v>50</v>
      </c>
      <c r="C1479" s="26">
        <v>13000</v>
      </c>
      <c r="D1479" s="10"/>
      <c r="E1479" s="27"/>
      <c r="F1479" s="28"/>
      <c r="G1479" s="4">
        <f>+G103+G179+G255+G332+G408+G484+G560+G636+G712+G788+G864+G941+G1018+G1095+G1172+G1249+G1325+G1402</f>
        <v>234000</v>
      </c>
      <c r="H1479" s="63">
        <f>+H103+H179+H255+H332+H408+H484+H560+H636+H712+H788+H864+H941+H1018+H1095+H1172+H1249+H1325+H1402</f>
        <v>234000</v>
      </c>
      <c r="I1479" s="10"/>
      <c r="J1479" s="64">
        <f>+J103+J179+J255+J332+J408+J484+J560+J636+J712+J788+J864+J941+J1018+J1095+J1172+J1249+J1325+J1402</f>
        <v>234000</v>
      </c>
      <c r="K1479" s="28"/>
      <c r="L1479" s="29"/>
    </row>
    <row r="1480" spans="1:12" x14ac:dyDescent="0.2">
      <c r="B1480" s="2"/>
      <c r="C1480" s="26"/>
      <c r="D1480" s="10"/>
      <c r="E1480" s="27"/>
      <c r="F1480" s="28"/>
      <c r="G1480" s="28"/>
      <c r="H1480" s="29"/>
      <c r="I1480" s="10"/>
      <c r="J1480" s="30"/>
      <c r="K1480" s="28"/>
      <c r="L1480" s="29"/>
    </row>
    <row r="1481" spans="1:12" x14ac:dyDescent="0.2">
      <c r="A1481" s="55">
        <v>9</v>
      </c>
      <c r="B1481" s="2" t="s">
        <v>51</v>
      </c>
      <c r="C1481" s="26">
        <v>30000</v>
      </c>
      <c r="D1481" s="10"/>
      <c r="E1481" s="27"/>
      <c r="F1481" s="28"/>
      <c r="G1481" s="4">
        <f>+G105+G181+G257+G334+G410+G486+G562+G638+G714+G790+G866+G943+G1020+G1097+G1174+G1251+G1327+G1404</f>
        <v>540000</v>
      </c>
      <c r="H1481" s="63">
        <f>+H105+H181+H257+H334+H410+H486+H562+H638+H714+H790+H866+H943+H1020+H1097+H1174+H1251+H1327+H1404</f>
        <v>540000</v>
      </c>
      <c r="I1481" s="10"/>
      <c r="J1481" s="64">
        <f>+J105+J181+J257+J334+J410+J486+J562+J638+J714+J790+J866+J943+J1020+J1097+J1174+J1251+J1327+J1404</f>
        <v>540000</v>
      </c>
      <c r="K1481" s="28"/>
      <c r="L1481" s="29"/>
    </row>
    <row r="1482" spans="1:12" x14ac:dyDescent="0.2">
      <c r="B1482" s="2"/>
      <c r="C1482" s="26"/>
      <c r="D1482" s="10"/>
      <c r="E1482" s="27"/>
      <c r="F1482" s="28"/>
      <c r="G1482" s="28"/>
      <c r="H1482" s="29"/>
      <c r="I1482" s="10"/>
      <c r="J1482" s="30"/>
      <c r="K1482" s="28"/>
      <c r="L1482" s="29"/>
    </row>
    <row r="1483" spans="1:12" x14ac:dyDescent="0.2">
      <c r="A1483" s="55">
        <v>10</v>
      </c>
      <c r="B1483" s="2" t="s">
        <v>52</v>
      </c>
      <c r="C1483" s="26">
        <v>40000</v>
      </c>
      <c r="D1483" s="10"/>
      <c r="E1483" s="27"/>
      <c r="F1483" s="28"/>
      <c r="G1483" s="4">
        <f>+G107+G183+G259+G336+G412+G488+G564+G640+G716+G792+G868+G945+G1022+G1099+G1176+G1253+G1329+G1406</f>
        <v>720000</v>
      </c>
      <c r="H1483" s="63">
        <f>+H107+H183+H259+H336+H412+H488+H564+H640+H716+H792+H868+H945+H1022+H1099+H1176+H1253+H1329+H1406</f>
        <v>720000</v>
      </c>
      <c r="I1483" s="10"/>
      <c r="J1483" s="64">
        <f>+J107+J183+J259+J336+J412+J488+J564+J640+J716+J792+J868+J945+J1022+J1099+J1176+J1253+J1329+J1406</f>
        <v>720000</v>
      </c>
      <c r="K1483" s="28"/>
      <c r="L1483" s="29"/>
    </row>
    <row r="1484" spans="1:12" x14ac:dyDescent="0.2">
      <c r="B1484" s="2"/>
      <c r="C1484" s="26"/>
      <c r="D1484" s="10"/>
      <c r="E1484" s="27"/>
      <c r="F1484" s="28"/>
      <c r="G1484" s="28"/>
      <c r="H1484" s="29"/>
      <c r="I1484" s="10"/>
      <c r="J1484" s="30"/>
      <c r="K1484" s="28"/>
      <c r="L1484" s="29"/>
    </row>
    <row r="1485" spans="1:12" ht="30" x14ac:dyDescent="0.2">
      <c r="A1485" s="55">
        <v>11</v>
      </c>
      <c r="B1485" s="2" t="s">
        <v>53</v>
      </c>
      <c r="C1485" s="26"/>
      <c r="D1485" s="10"/>
      <c r="E1485" s="27"/>
      <c r="F1485" s="28"/>
      <c r="G1485" s="4">
        <f>+G109+G185+G261+G338+G414+G490+G566+G642+G718+G794+G870+G947+G1024+G1101+G1178+G1255+G1331+G1408</f>
        <v>4240320</v>
      </c>
      <c r="H1485" s="63">
        <f>+H109+H185+H261+H338+H414+H490+H566+H642+H718+H794+H870+H947+H1024+H1101+H1178+H1255+H1331+H1408</f>
        <v>4240320</v>
      </c>
      <c r="I1485" s="10"/>
      <c r="J1485" s="64">
        <f>+J109+J185+J261+J338+J414+J490+J566+J642+J718+J794+J870+J947+J1024+J1101+J1178+J1255+J1331+J1408</f>
        <v>682749</v>
      </c>
      <c r="K1485" s="4">
        <f>+K109+K185+K261+K338+K414+K490+K566+K642+K718+K794+K870+K947+K1024+K1101+K1178+K1255+K1331+K1408</f>
        <v>2813070</v>
      </c>
      <c r="L1485" s="63">
        <f>+L109+L185+L261+L338+L414+L490+L566+L642+L718+L794+L870+L947+L1024+L1101+L1178+L1255+L1331+L1408</f>
        <v>744514</v>
      </c>
    </row>
    <row r="1486" spans="1:12" x14ac:dyDescent="0.2">
      <c r="B1486" s="2"/>
      <c r="C1486" s="26"/>
      <c r="D1486" s="10"/>
      <c r="E1486" s="27"/>
      <c r="F1486" s="28"/>
      <c r="G1486" s="28"/>
      <c r="H1486" s="29"/>
      <c r="I1486" s="10"/>
      <c r="J1486" s="30"/>
      <c r="K1486" s="32"/>
      <c r="L1486" s="33"/>
    </row>
    <row r="1487" spans="1:12" x14ac:dyDescent="0.2">
      <c r="A1487" s="55">
        <v>12</v>
      </c>
      <c r="B1487" s="2" t="s">
        <v>54</v>
      </c>
      <c r="C1487" s="26"/>
      <c r="D1487" s="10"/>
      <c r="E1487" s="27"/>
      <c r="F1487" s="4">
        <f>+F111+F187+F263+F340+F416+F492+F568+F644+F720+F796+F872+F949+F1026+F1103+F1180+F1257+F1333+F1410</f>
        <v>4799477.9849999985</v>
      </c>
      <c r="G1487" s="28"/>
      <c r="H1487" s="63">
        <f>+H111+H187+H263+H340+H416+H492+H568+H644+H720+H796+H872+H949+H1026+H1103+H1180+H1257+H1333+H1410</f>
        <v>4799477.9849999985</v>
      </c>
      <c r="I1487" s="10"/>
      <c r="J1487" s="64">
        <f>+J111+J187+J263+J340+J416+J492+J568+J644+J720+J796+J872+J949+J1026+J1103+J1180+J1257+J1333+J1410</f>
        <v>930803</v>
      </c>
      <c r="K1487" s="4">
        <f>+K111+K187+K263+K340+K416+K492+K568+K644+K720+K796+K872+K949+K1026+K1103+K1180+K1257+K1333+K1410</f>
        <v>2853661</v>
      </c>
      <c r="L1487" s="63">
        <f>+L111+L187+L263+L340+L416+L492+L568+L644+L720+L796+L872+L949+L1026+L1103+L1180+L1257+L1333+L1410</f>
        <v>1015016</v>
      </c>
    </row>
    <row r="1488" spans="1:12" x14ac:dyDescent="0.2">
      <c r="B1488" s="2"/>
      <c r="C1488" s="26"/>
      <c r="D1488" s="10"/>
      <c r="E1488" s="27"/>
      <c r="F1488" s="28"/>
      <c r="G1488" s="28"/>
      <c r="H1488" s="29"/>
      <c r="I1488" s="10"/>
      <c r="J1488" s="30"/>
      <c r="K1488" s="32"/>
      <c r="L1488" s="33"/>
    </row>
    <row r="1489" spans="1:12" x14ac:dyDescent="0.2">
      <c r="A1489" s="55">
        <v>13</v>
      </c>
      <c r="B1489" s="2" t="s">
        <v>55</v>
      </c>
      <c r="C1489" s="26">
        <v>2000</v>
      </c>
      <c r="D1489" s="10"/>
      <c r="E1489" s="27"/>
      <c r="F1489" s="28"/>
      <c r="G1489" s="4">
        <f>+G113+G189+G265+G342+G418+G494+G570+G646+G722+G798+G874+G951+G1028+G1105+G1182+G1259+G1335+G1412</f>
        <v>867000</v>
      </c>
      <c r="H1489" s="63">
        <f>+H113+H189+H265+H342+H418+H494+H570+H646+H722+H798+H874+H951+H1028+H1105+H1182+H1259+H1335+H1412</f>
        <v>867000</v>
      </c>
      <c r="I1489" s="10"/>
      <c r="J1489" s="64">
        <f>+J113+J189+J265+J342+J418+J494+J570+J646+J722+J798+J874+J951+J1028+J1105+J1182+J1259+J1335+J1412</f>
        <v>171000</v>
      </c>
      <c r="K1489" s="4">
        <f>+K113+K189+K265+K342+K418+K494+K570+K646+K722+K798+K874+K951+K1028+K1105+K1182+K1259+K1335+K1412</f>
        <v>512000</v>
      </c>
      <c r="L1489" s="63">
        <f>+L113+L189+L265+L342+L418+L494+L570+L646+L722+L798+L874+L951+L1028+L1105+L1182+L1259+L1335+L1412</f>
        <v>184000</v>
      </c>
    </row>
    <row r="1490" spans="1:12" x14ac:dyDescent="0.2">
      <c r="B1490" s="2"/>
      <c r="C1490" s="26"/>
      <c r="D1490" s="10"/>
      <c r="E1490" s="27"/>
      <c r="F1490" s="28"/>
      <c r="G1490" s="28"/>
      <c r="H1490" s="29"/>
      <c r="I1490" s="10"/>
      <c r="J1490" s="30"/>
      <c r="K1490" s="32"/>
      <c r="L1490" s="33"/>
    </row>
    <row r="1491" spans="1:12" ht="30" x14ac:dyDescent="0.2">
      <c r="A1491" s="55">
        <v>14</v>
      </c>
      <c r="B1491" s="2" t="s">
        <v>56</v>
      </c>
      <c r="C1491" s="26"/>
      <c r="D1491" s="10"/>
      <c r="E1491" s="27"/>
      <c r="F1491" s="4">
        <f>+F115+F191+F267+F344+F420+F496+F572+F648+F724+F800+F876+F953+F1030+F1107+F1184+F1261+F1337+F1414</f>
        <v>768530</v>
      </c>
      <c r="G1491" s="28"/>
      <c r="H1491" s="63">
        <f>+H115+H191+H267+H344+H420+H496+H572+H648+H724+H800+H876+H953+H1030+H1107+H1184+H1261+H1337+H1414</f>
        <v>768530</v>
      </c>
      <c r="I1491" s="10"/>
      <c r="J1491" s="64"/>
      <c r="K1491" s="4">
        <f>+K115+K191+K267+K344+K420+K496+K572+K648+K724+K800+K876+K953+K1030+K1107+K1184+K1261+K1337+K1414</f>
        <v>520363</v>
      </c>
      <c r="L1491" s="63">
        <f>+L115+L191+L267+L344+L420+L496+L572+L648+L724+L800+L876+L953+L1030+L1107+L1184+L1261+L1337+L1414</f>
        <v>248174</v>
      </c>
    </row>
    <row r="1492" spans="1:12" x14ac:dyDescent="0.2">
      <c r="B1492" s="2"/>
      <c r="C1492" s="26"/>
      <c r="D1492" s="10"/>
      <c r="E1492" s="27"/>
      <c r="F1492" s="28"/>
      <c r="G1492" s="28"/>
      <c r="H1492" s="29"/>
      <c r="I1492" s="10"/>
      <c r="J1492" s="30"/>
      <c r="K1492" s="28"/>
      <c r="L1492" s="29"/>
    </row>
    <row r="1493" spans="1:12" x14ac:dyDescent="0.2">
      <c r="A1493" s="55">
        <v>15</v>
      </c>
      <c r="B1493" s="2" t="s">
        <v>57</v>
      </c>
      <c r="C1493" s="26">
        <f>+F1459</f>
        <v>59350</v>
      </c>
      <c r="D1493" s="10"/>
      <c r="E1493" s="64">
        <f>+E117+E193+E269+E346+E422+E498+E574+E650+E726+E802+E878+E955+E1032+E1109+E1186+E1263+E1339+E1416</f>
        <v>49</v>
      </c>
      <c r="F1493" s="4">
        <f>+F117+F193+F269+F346+F422+F498+F574+F650+F726+F802+F878+F955+F1032+F1109+F1186+F1263+F1339+F1416</f>
        <v>2908150</v>
      </c>
      <c r="G1493" s="28"/>
      <c r="H1493" s="63">
        <f>+H117+H193+H269+H346+H422+H498+H574+H650+H726+H802+H878+H955+H1032+H1109+H1186+H1263+H1339+H1416</f>
        <v>2908150</v>
      </c>
      <c r="I1493" s="10"/>
      <c r="J1493" s="27"/>
      <c r="K1493" s="4">
        <f>+K117+K193+K269+K346+K422+K498+K574+K650+K726+K802+K878+K955+K1032+K1109+K1186+K1263+K1339+K1416</f>
        <v>1831904</v>
      </c>
      <c r="L1493" s="63">
        <f>+L117+L193+L269+L346+L422+L498+L574+L650+L726+L802+L878+L955+L1032+L1109+L1186+L1263+L1339+L1416</f>
        <v>1076246</v>
      </c>
    </row>
    <row r="1494" spans="1:12" x14ac:dyDescent="0.2">
      <c r="B1494" s="2"/>
      <c r="C1494" s="26"/>
      <c r="D1494" s="10"/>
      <c r="E1494" s="27"/>
      <c r="F1494" s="28"/>
      <c r="G1494" s="28"/>
      <c r="H1494" s="29"/>
      <c r="I1494" s="10"/>
      <c r="J1494" s="30"/>
      <c r="K1494" s="28"/>
      <c r="L1494" s="29"/>
    </row>
    <row r="1495" spans="1:12" x14ac:dyDescent="0.2">
      <c r="A1495" s="55">
        <v>16</v>
      </c>
      <c r="B1495" s="2" t="s">
        <v>58</v>
      </c>
      <c r="C1495" s="26">
        <f>+F1460</f>
        <v>36150</v>
      </c>
      <c r="D1495" s="10"/>
      <c r="E1495" s="64">
        <f>+E119+E195+E271+E348+E424+E500+E576+E652+E728+E804+E880+E957+E1034+E1111+E1188+E1265+E1341+E1418</f>
        <v>50</v>
      </c>
      <c r="F1495" s="4">
        <f>+F119+F195+F271+F348+F424+F500+F576+F652+F728+F804+F880+F957+F1034+F1111+F1188+F1265+F1341+F1418</f>
        <v>1807500</v>
      </c>
      <c r="G1495" s="28"/>
      <c r="H1495" s="63">
        <f>+H119+H195+H271+H348+H424+H500+H576+H652+H728+H804+H880+H957+H1034+H1111+H1188+H1265+H1341+H1418</f>
        <v>1807500</v>
      </c>
      <c r="I1495" s="10"/>
      <c r="J1495" s="30"/>
      <c r="K1495" s="4">
        <f>+K119+K195+K271+K348+K424+K500+K576+K652+K728+K804+K880+K957+K1034+K1111+K1188+K1265+K1341+K1418</f>
        <v>1138582</v>
      </c>
      <c r="L1495" s="63">
        <f>+L119+L195+L271+L348+L424+L500+L576+L652+L728+L804+L880+L957+L1034+L1111+L1188+L1265+L1341+L1418</f>
        <v>668918</v>
      </c>
    </row>
    <row r="1496" spans="1:12" x14ac:dyDescent="0.2">
      <c r="B1496" s="2"/>
      <c r="C1496" s="26"/>
      <c r="D1496" s="10"/>
      <c r="E1496" s="27"/>
      <c r="F1496" s="28"/>
      <c r="G1496" s="28"/>
      <c r="H1496" s="29"/>
      <c r="I1496" s="10"/>
      <c r="J1496" s="30"/>
      <c r="K1496" s="28"/>
      <c r="L1496" s="29"/>
    </row>
    <row r="1497" spans="1:12" ht="15.75" x14ac:dyDescent="0.25">
      <c r="A1497" s="18" t="s">
        <v>59</v>
      </c>
      <c r="B1497" s="2"/>
      <c r="C1497" s="26"/>
      <c r="D1497" s="10"/>
      <c r="E1497" s="27"/>
      <c r="F1497" s="28"/>
      <c r="G1497" s="28"/>
      <c r="H1497" s="29"/>
      <c r="I1497" s="10"/>
      <c r="J1497" s="30"/>
      <c r="K1497" s="28"/>
      <c r="L1497" s="29"/>
    </row>
    <row r="1498" spans="1:12" x14ac:dyDescent="0.2">
      <c r="A1498" s="36">
        <v>17</v>
      </c>
      <c r="B1498" s="37" t="s">
        <v>60</v>
      </c>
      <c r="C1498" s="38">
        <f>+F1458</f>
        <v>53950</v>
      </c>
      <c r="D1498" s="39"/>
      <c r="E1498" s="64">
        <f>+E122+E198+E274+E351+E427+E503+E579+E655+E731+E807+E883+E960+E1037+E1114+E1191+E1268+E1344+E1421</f>
        <v>56</v>
      </c>
      <c r="F1498" s="4">
        <f>+F122+F198+F274+F351+F427+F503+F579+F655+F731+F807+F883+F960+F1037+F1114+F1191+F1268+F1344+F1421</f>
        <v>3021200</v>
      </c>
      <c r="G1498" s="41"/>
      <c r="H1498" s="63">
        <f>+H122+H198+H274+H351+H427+H503+H579+H655+H731+H807+H883+H960+H1037+H1114+H1191+H1268+H1344+H1421</f>
        <v>3021200</v>
      </c>
      <c r="I1498" s="39"/>
      <c r="J1498" s="42"/>
      <c r="K1498" s="4">
        <f>+K122+K198+K274+K351+K427+K503+K579+K655+K731+K807+K883+K960+K1037+K1114+K1191+K1268+K1344+K1421</f>
        <v>3021200</v>
      </c>
      <c r="L1498" s="29"/>
    </row>
    <row r="1499" spans="1:12" x14ac:dyDescent="0.2">
      <c r="A1499" s="37"/>
      <c r="B1499" s="37"/>
      <c r="C1499" s="26"/>
      <c r="D1499" s="10"/>
      <c r="E1499" s="27"/>
      <c r="F1499" s="28"/>
      <c r="G1499" s="28"/>
      <c r="H1499" s="29"/>
      <c r="I1499" s="10"/>
      <c r="J1499" s="30"/>
      <c r="K1499" s="28"/>
      <c r="L1499" s="29"/>
    </row>
    <row r="1500" spans="1:12" ht="30" x14ac:dyDescent="0.2">
      <c r="A1500" s="36">
        <v>18</v>
      </c>
      <c r="B1500" s="37" t="s">
        <v>61</v>
      </c>
      <c r="C1500" s="26">
        <f>+F1458</f>
        <v>53950</v>
      </c>
      <c r="D1500" s="10"/>
      <c r="E1500" s="64">
        <f>+E124+E200+E276+E353+E429+E505+E581+E657+E733+E809+E885+E962+E1039+E1116+E1193+E1270+E1346+E1423</f>
        <v>18</v>
      </c>
      <c r="F1500" s="4">
        <f>+F124+F200+F276+F353+F429+F505+F581+F657+F733+F809+F885+F962+F1039+F1116+F1193+F1270+F1346+F1423</f>
        <v>971100</v>
      </c>
      <c r="G1500" s="28"/>
      <c r="H1500" s="63">
        <f>+H124+H200+H276+H353+H429+H505+H581+H657+H733+H809+H885+H962+H1039+H1116+H1193+H1270+H1346+H1423</f>
        <v>971100</v>
      </c>
      <c r="I1500" s="10"/>
      <c r="J1500" s="30" t="s">
        <v>62</v>
      </c>
      <c r="K1500" s="4">
        <f>+K124+K200+K276+K353+K429+K505+K581+K657+K733+K809+K885+K962+K1039+K1116+K1193+K1270+K1346+K1423</f>
        <v>971100</v>
      </c>
      <c r="L1500" s="29"/>
    </row>
    <row r="1501" spans="1:12" x14ac:dyDescent="0.2">
      <c r="A1501" s="37"/>
      <c r="B1501" s="37"/>
      <c r="C1501" s="26"/>
      <c r="D1501" s="10"/>
      <c r="E1501" s="27"/>
      <c r="F1501" s="28"/>
      <c r="G1501" s="28"/>
      <c r="H1501" s="29"/>
      <c r="I1501" s="10"/>
      <c r="J1501" s="30"/>
      <c r="K1501" s="28"/>
      <c r="L1501" s="29"/>
    </row>
    <row r="1502" spans="1:12" x14ac:dyDescent="0.2">
      <c r="A1502" s="37">
        <v>19</v>
      </c>
      <c r="B1502" s="37" t="s">
        <v>63</v>
      </c>
      <c r="C1502" s="26">
        <f>+F1458</f>
        <v>53950</v>
      </c>
      <c r="D1502" s="10"/>
      <c r="E1502" s="64">
        <f>+E126+E202+E278+E355+E431+E507+E583+E659+E735+E811+E887+E964+E1041+E1118+E1195+E1272+E1348+E1425</f>
        <v>83</v>
      </c>
      <c r="F1502" s="4">
        <f>+F126+F202+F278+F355+F431+F507+F583+F659+F735+F811+F887+F964+F1041+F1118+F1195+F1272+F1348+F1425</f>
        <v>4477850</v>
      </c>
      <c r="G1502" s="28"/>
      <c r="H1502" s="63">
        <f>+H126+H202+H278+H355+H431+H507+H583+H659+H735+H811+H887+H964+H1041+H1118+H1195+H1272+H1348+H1425</f>
        <v>4477850</v>
      </c>
      <c r="I1502" s="10"/>
      <c r="J1502" s="30"/>
      <c r="K1502" s="4">
        <f>+K126+K202+K278+K355+K431+K507+K583+K659+K735+K811+K887+K964+K1041+K1118+K1195+K1272+K1348+K1425</f>
        <v>4477850</v>
      </c>
      <c r="L1502" s="29"/>
    </row>
    <row r="1503" spans="1:12" x14ac:dyDescent="0.2">
      <c r="A1503" s="37"/>
      <c r="B1503" s="37"/>
      <c r="C1503" s="26"/>
      <c r="D1503" s="10"/>
      <c r="E1503" s="27"/>
      <c r="F1503" s="28"/>
      <c r="G1503" s="28"/>
      <c r="H1503" s="29"/>
      <c r="I1503" s="10"/>
      <c r="J1503" s="30"/>
      <c r="K1503" s="28"/>
      <c r="L1503" s="29"/>
    </row>
    <row r="1504" spans="1:12" x14ac:dyDescent="0.2">
      <c r="A1504" s="37">
        <v>20</v>
      </c>
      <c r="B1504" s="37" t="s">
        <v>64</v>
      </c>
      <c r="C1504" s="26">
        <f>+F1458</f>
        <v>53950</v>
      </c>
      <c r="D1504" s="10"/>
      <c r="E1504" s="64">
        <f>+E128+E204+E280+E357+E433+E509+E585+E661+E737+E813+E889+E966+E1043+E1120+E1197+E1274+E1350+E1427</f>
        <v>92</v>
      </c>
      <c r="F1504" s="4">
        <f>+F128+F204+F280+F357+F433+F509+F585+F661+F737+F813+F889+F966+F1043+F1120+F1197+F1274+F1350+F1427</f>
        <v>4963400</v>
      </c>
      <c r="G1504" s="28"/>
      <c r="H1504" s="63">
        <f>+H128+H204+H280+H357+H433+H509+H585+H661+H737+H813+H889+H966+H1043+H1120+H1197+H1274+H1350+H1427</f>
        <v>4963400</v>
      </c>
      <c r="I1504" s="10"/>
      <c r="J1504" s="30"/>
      <c r="K1504" s="28"/>
      <c r="L1504" s="63">
        <f>+L128+L204+L280+L357+L433+L509+L585+L661+L737+L813+L889+L966+L1043+L1120+L1197+L1274+L1350+L1427</f>
        <v>4963400</v>
      </c>
    </row>
    <row r="1505" spans="1:13" x14ac:dyDescent="0.2">
      <c r="A1505" s="37"/>
      <c r="B1505" s="37"/>
      <c r="C1505" s="26"/>
      <c r="D1505" s="10"/>
      <c r="E1505" s="27"/>
      <c r="F1505" s="28"/>
      <c r="G1505" s="28"/>
      <c r="H1505" s="29"/>
      <c r="I1505" s="10"/>
      <c r="J1505" s="30"/>
      <c r="K1505" s="28"/>
      <c r="L1505" s="29"/>
    </row>
    <row r="1506" spans="1:13" x14ac:dyDescent="0.2">
      <c r="A1506" s="37">
        <v>21</v>
      </c>
      <c r="B1506" s="37" t="s">
        <v>65</v>
      </c>
      <c r="C1506" s="31"/>
      <c r="D1506" s="43"/>
      <c r="E1506" s="27"/>
      <c r="F1506" s="28"/>
      <c r="G1506" s="4">
        <f>+G130+G206+G282+G359+G435+G511+G587+G663+G739+G815+G891+G968+G1045+G1122+G1199+G1276+G1352+G1429</f>
        <v>3469125</v>
      </c>
      <c r="H1506" s="63">
        <f>+H130+H206+H282+H359+H435+H511+H587+H663+H739+H815+H891+H968+H1045+H1122+H1199+H1276+H1352+H1429</f>
        <v>3469125</v>
      </c>
      <c r="I1506" s="10"/>
      <c r="J1506" s="30" t="s">
        <v>62</v>
      </c>
      <c r="K1506" s="4">
        <f>+K130+K206+K282+K359+K435+K511+K587+K663+K739+K815+K891+K968+K1045+K1122+K1199+K1276+K1352+K1429</f>
        <v>1734567</v>
      </c>
      <c r="L1506" s="63">
        <f>+L130+L206+L282+L359+L435+L511+L587+L663+L739+L815+L891+L968+L1045+L1122+L1199+L1276+L1352+L1429</f>
        <v>1734567</v>
      </c>
    </row>
    <row r="1507" spans="1:13" x14ac:dyDescent="0.2">
      <c r="A1507" s="37"/>
      <c r="B1507" s="37"/>
      <c r="C1507" s="26"/>
      <c r="D1507" s="10"/>
      <c r="E1507" s="27"/>
      <c r="F1507" s="28"/>
      <c r="G1507" s="28"/>
      <c r="H1507" s="29"/>
      <c r="I1507" s="10"/>
      <c r="J1507" s="30"/>
      <c r="K1507" s="28"/>
      <c r="L1507" s="29"/>
    </row>
    <row r="1508" spans="1:13" x14ac:dyDescent="0.2">
      <c r="A1508" s="37">
        <v>22</v>
      </c>
      <c r="B1508" s="37" t="s">
        <v>66</v>
      </c>
      <c r="C1508" s="26">
        <v>10000</v>
      </c>
      <c r="D1508" s="10"/>
      <c r="E1508" s="27"/>
      <c r="F1508" s="28"/>
      <c r="G1508" s="4">
        <f>+G132+G208+G284+G361+G437+G513+G589+G665+G741+G817+G893+G970+G1047+G1124+G1201+G1278+G1354+G1431</f>
        <v>3410000</v>
      </c>
      <c r="H1508" s="63">
        <f>+H132+H208+H284+H361+H437+H513+H589+H665+H741+H817+H893+H970+H1047+H1124+H1201+H1278+H1354+H1431</f>
        <v>3410000</v>
      </c>
      <c r="I1508" s="10"/>
      <c r="J1508" s="64">
        <f>+J132+J208+J284+J361+J437+J513+J589+J665+J741+J817+J893+J970+J1047+J1124+J1201+J1278+J1354+J1431</f>
        <v>180000</v>
      </c>
      <c r="K1508" s="4">
        <f>+K132+K208+K284+K361+K437+K513+K589+K665+K741+K817+K893+K970+K1047+K1124+K1201+K1278+K1354+K1431</f>
        <v>2310000</v>
      </c>
      <c r="L1508" s="63">
        <f>+L132+L208+L284+L361+L437+L513+L589+L665+L741+L817+L893+L970+L1047+L1124+L1201+L1278+L1354+L1431</f>
        <v>920000</v>
      </c>
    </row>
    <row r="1509" spans="1:13" x14ac:dyDescent="0.2">
      <c r="A1509" s="37"/>
      <c r="B1509" s="37"/>
      <c r="C1509" s="26"/>
      <c r="D1509" s="10"/>
      <c r="E1509" s="27"/>
      <c r="F1509" s="28"/>
      <c r="G1509" s="4"/>
      <c r="H1509" s="63"/>
      <c r="I1509" s="10"/>
      <c r="J1509" s="64"/>
      <c r="K1509" s="4"/>
      <c r="L1509" s="63"/>
    </row>
    <row r="1510" spans="1:13" x14ac:dyDescent="0.2">
      <c r="A1510" s="37">
        <v>23</v>
      </c>
      <c r="B1510" s="37" t="s">
        <v>82</v>
      </c>
      <c r="C1510" s="26"/>
      <c r="D1510" s="10"/>
      <c r="E1510" s="27"/>
      <c r="F1510" s="28"/>
      <c r="G1510" s="4">
        <f>+G134+G210+G286+G363+G439+G515+G591+G667+G743+G819+G895+G972+G1049+G1126+G1203+G1280+G1356+G1433</f>
        <v>1397100</v>
      </c>
      <c r="H1510" s="29">
        <f>+G1510</f>
        <v>1397100</v>
      </c>
      <c r="I1510" s="10"/>
      <c r="J1510" s="64"/>
      <c r="K1510" s="4"/>
      <c r="L1510" s="33">
        <f>+H1510</f>
        <v>1397100</v>
      </c>
    </row>
    <row r="1511" spans="1:13" x14ac:dyDescent="0.2">
      <c r="B1511" s="2"/>
      <c r="C1511" s="26"/>
      <c r="D1511" s="10"/>
      <c r="E1511" s="27"/>
      <c r="F1511" s="28"/>
      <c r="G1511" s="28"/>
      <c r="H1511" s="29"/>
      <c r="I1511" s="10"/>
      <c r="J1511" s="30"/>
      <c r="K1511" s="28"/>
      <c r="L1511" s="29"/>
    </row>
    <row r="1512" spans="1:13" x14ac:dyDescent="0.2">
      <c r="B1512" s="49"/>
      <c r="C1512" s="44"/>
      <c r="D1512" s="10"/>
      <c r="E1512" s="45">
        <f>SUM(E1465:E1510)</f>
        <v>415.5</v>
      </c>
      <c r="F1512" s="46">
        <f>SUM(F1465:F1511)</f>
        <v>28268807.984999999</v>
      </c>
      <c r="G1512" s="46">
        <f>SUM(G1465:G1511)</f>
        <v>15777545</v>
      </c>
      <c r="H1512" s="47">
        <f>SUM(H1465:H1511)</f>
        <v>44046352.984999999</v>
      </c>
      <c r="I1512" s="10"/>
      <c r="J1512" s="48">
        <f>SUM(J1465:J1511)</f>
        <v>8910152</v>
      </c>
      <c r="K1512" s="46">
        <f>SUM(K1465:K1511)</f>
        <v>22184297</v>
      </c>
      <c r="L1512" s="47">
        <f>SUM(L1465:L1511)</f>
        <v>12951935</v>
      </c>
    </row>
    <row r="1513" spans="1:13" x14ac:dyDescent="0.2">
      <c r="A1513" s="37">
        <v>24</v>
      </c>
      <c r="B1513" s="55" t="s">
        <v>68</v>
      </c>
      <c r="J1513" s="50"/>
      <c r="L1513" s="50"/>
    </row>
    <row r="1514" spans="1:13" x14ac:dyDescent="0.2">
      <c r="A1514" s="37">
        <v>25</v>
      </c>
      <c r="B1514" s="55" t="s">
        <v>69</v>
      </c>
      <c r="J1514" s="50"/>
      <c r="L1514" s="50"/>
    </row>
    <row r="1515" spans="1:13" x14ac:dyDescent="0.2">
      <c r="A1515" s="37">
        <v>26</v>
      </c>
      <c r="B1515" s="55" t="s">
        <v>182</v>
      </c>
      <c r="C1515" s="8"/>
      <c r="D1515" s="8"/>
      <c r="E1515" s="11"/>
      <c r="L1515" s="4">
        <f>+L139+L215+L291+L368+L444+L520+L596+L672+L748+L824+L900+L977+L1054+L1131+L1208+L1285+L1361+L1438</f>
        <v>44046384</v>
      </c>
    </row>
    <row r="1516" spans="1:13" x14ac:dyDescent="0.2">
      <c r="B1516" s="49"/>
      <c r="C1516" s="7"/>
      <c r="D1516" s="7"/>
      <c r="E1516" s="11"/>
      <c r="L1516" s="4">
        <f>+L140+L216+L292+L369+L445+L521+L597+L673+L749+L825+L901+L978+L1055+L1132+L1209+L1286+L1362+L1439</f>
        <v>25965476</v>
      </c>
    </row>
    <row r="1517" spans="1:13" x14ac:dyDescent="0.2">
      <c r="A1517" s="37">
        <v>24</v>
      </c>
      <c r="B1517" s="55" t="s">
        <v>68</v>
      </c>
      <c r="C1517" s="7"/>
      <c r="D1517" s="7"/>
      <c r="E1517" s="11"/>
      <c r="J1517" s="10" t="s">
        <v>62</v>
      </c>
      <c r="L1517" s="4">
        <f>+L141+L217+L293+L370+L446+L522+L598+L674+L750+L826+L902+L979+L1056+L1133+L1210+L1287+L1363+L1440</f>
        <v>18080908</v>
      </c>
    </row>
    <row r="1518" spans="1:13" x14ac:dyDescent="0.2">
      <c r="A1518" s="37">
        <v>25</v>
      </c>
      <c r="B1518" s="55" t="s">
        <v>69</v>
      </c>
      <c r="C1518" s="7"/>
      <c r="D1518" s="7"/>
      <c r="E1518" s="11"/>
      <c r="J1518" s="10"/>
      <c r="L1518" s="10"/>
    </row>
    <row r="1519" spans="1:13" ht="75" x14ac:dyDescent="0.2">
      <c r="A1519" s="37">
        <v>26</v>
      </c>
      <c r="B1519" s="55" t="s">
        <v>182</v>
      </c>
      <c r="C1519" s="7"/>
      <c r="D1519" s="7"/>
      <c r="E1519" s="11"/>
      <c r="J1519" s="10" t="s">
        <v>71</v>
      </c>
      <c r="K1519" s="65" t="s">
        <v>72</v>
      </c>
      <c r="L1519" s="66" t="s">
        <v>73</v>
      </c>
    </row>
    <row r="1520" spans="1:13" x14ac:dyDescent="0.2">
      <c r="B1520" s="8" t="s">
        <v>74</v>
      </c>
      <c r="C1520" s="7"/>
      <c r="D1520" s="7"/>
      <c r="E1520" s="11"/>
      <c r="J1520" s="4">
        <f>+J144+J220+J296+J373+J449+J525+J601+J677+J753+J829+J905+J982+J1059+J1136+J1213+J1290+J1366+J1443</f>
        <v>31094449</v>
      </c>
      <c r="K1520" s="4">
        <f>+K144+K220+K296+K373+K449+K525+K601+K677+K753+K829+K905+K982+K1059+K1136+K1213+K1290+K1366+K1443</f>
        <v>25965476</v>
      </c>
      <c r="L1520" s="4">
        <f>+L144+L220+L296+L373+L449+L525+L601+L677+L753+L829+L905+L982+L1059+L1136+L1213+L1290+L1366+L1443</f>
        <v>5128973</v>
      </c>
      <c r="M1520" s="4"/>
    </row>
    <row r="1521" spans="2:12" x14ac:dyDescent="0.2">
      <c r="B1521" s="54" t="s">
        <v>75</v>
      </c>
      <c r="C1521" s="7"/>
      <c r="D1521" s="7"/>
      <c r="E1521" s="11"/>
      <c r="J1521" s="4">
        <f>+J145+J221+J297+J374+J450+J526+J602+J678+J754+J830+J906+J983+J1060+J1137+J1214+J1291+J1367+J1444</f>
        <v>12951935</v>
      </c>
      <c r="K1521" s="10" t="s">
        <v>62</v>
      </c>
      <c r="L1521" s="4">
        <f>+L145+L221+L297+L374+L450+L526+L602+L678+L754+L830+L906+L983+L1060+L1137+L1214+L1291+L1367+L1444</f>
        <v>12951935</v>
      </c>
    </row>
  </sheetData>
  <mergeCells count="20">
    <mergeCell ref="K1385:L1385"/>
    <mergeCell ref="K1462:L1462"/>
    <mergeCell ref="K924:L924"/>
    <mergeCell ref="K1001:L1001"/>
    <mergeCell ref="K1078:L1078"/>
    <mergeCell ref="K1155:L1155"/>
    <mergeCell ref="K1232:L1232"/>
    <mergeCell ref="K1308:L1308"/>
    <mergeCell ref="K847:L847"/>
    <mergeCell ref="K15:L15"/>
    <mergeCell ref="K86:L86"/>
    <mergeCell ref="K162:L162"/>
    <mergeCell ref="K238:L238"/>
    <mergeCell ref="K315:L315"/>
    <mergeCell ref="K391:L391"/>
    <mergeCell ref="K467:L467"/>
    <mergeCell ref="K543:L543"/>
    <mergeCell ref="K619:L619"/>
    <mergeCell ref="K695:L695"/>
    <mergeCell ref="K771:L771"/>
  </mergeCells>
  <pageMargins left="0.75" right="0.75" top="1" bottom="1" header="0.5" footer="0.5"/>
  <pageSetup scale="47" orientation="portrait" r:id="rId1"/>
  <headerFooter alignWithMargins="0">
    <oddHeader>&amp;L&amp;D</oddHeader>
    <oddFooter>&amp;R&amp;F</oddFooter>
  </headerFooter>
  <rowBreaks count="18" manualBreakCount="18">
    <brk id="146" max="16383" man="1"/>
    <brk id="223" max="16383" man="1"/>
    <brk id="299" max="16383" man="1"/>
    <brk id="376" max="16383" man="1"/>
    <brk id="452" max="16383" man="1"/>
    <brk id="528" max="16383" man="1"/>
    <brk id="602" max="16383" man="1"/>
    <brk id="679" max="16383" man="1"/>
    <brk id="755" max="16383" man="1"/>
    <brk id="831" max="16383" man="1"/>
    <brk id="908" max="16383" man="1"/>
    <brk id="985" max="16383" man="1"/>
    <brk id="1061" max="16383" man="1"/>
    <brk id="1139" max="16383" man="1"/>
    <brk id="1216" max="16383" man="1"/>
    <brk id="1292" max="16383" man="1"/>
    <brk id="1369" max="16383" man="1"/>
    <brk id="144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6"/>
  <sheetViews>
    <sheetView zoomScale="60" zoomScaleNormal="60" workbookViewId="0">
      <selection activeCell="E55" sqref="E55"/>
    </sheetView>
  </sheetViews>
  <sheetFormatPr defaultColWidth="9.125" defaultRowHeight="15" x14ac:dyDescent="0.25"/>
  <cols>
    <col min="1" max="1" width="3.75" style="233" customWidth="1"/>
    <col min="2" max="2" width="43.875" style="233" customWidth="1"/>
    <col min="3" max="3" width="15" style="233" customWidth="1"/>
    <col min="4" max="4" width="3.125" style="233" customWidth="1"/>
    <col min="5" max="8" width="15" style="233" customWidth="1"/>
    <col min="9" max="9" width="3.625" style="233" customWidth="1"/>
    <col min="10" max="10" width="17" style="233" customWidth="1"/>
    <col min="11" max="11" width="15.375" style="233" customWidth="1"/>
    <col min="12" max="12" width="16.625" style="233" customWidth="1"/>
    <col min="13" max="16384" width="9.125" style="100"/>
  </cols>
  <sheetData>
    <row r="1" spans="1:12" ht="15.75" x14ac:dyDescent="0.25">
      <c r="A1" s="138" t="s">
        <v>24</v>
      </c>
      <c r="B1" s="228"/>
      <c r="C1" s="176" t="s">
        <v>208</v>
      </c>
      <c r="D1" s="121"/>
      <c r="E1" s="121"/>
      <c r="F1" s="121"/>
      <c r="G1" s="121"/>
      <c r="H1" s="151"/>
      <c r="I1" s="121"/>
      <c r="J1" s="121"/>
      <c r="K1" s="121"/>
      <c r="L1" s="121"/>
    </row>
    <row r="2" spans="1:12" ht="15.75" x14ac:dyDescent="0.25">
      <c r="A2" s="121"/>
      <c r="B2" s="177"/>
      <c r="C2" s="140"/>
      <c r="D2" s="140"/>
      <c r="E2" s="121"/>
      <c r="F2" s="121"/>
      <c r="G2" s="121"/>
      <c r="H2" s="151"/>
      <c r="I2" s="121"/>
      <c r="J2" s="121"/>
      <c r="K2" s="121"/>
      <c r="L2" s="121"/>
    </row>
    <row r="3" spans="1:12" ht="15.75" x14ac:dyDescent="0.25">
      <c r="A3" s="121" t="s">
        <v>78</v>
      </c>
      <c r="B3" s="177"/>
      <c r="C3" s="141">
        <v>1000</v>
      </c>
      <c r="D3" s="141"/>
      <c r="E3" s="149"/>
      <c r="F3" s="121"/>
      <c r="G3" s="121"/>
      <c r="H3" s="151"/>
      <c r="I3" s="121"/>
      <c r="J3" s="121"/>
      <c r="K3" s="121"/>
      <c r="L3" s="121"/>
    </row>
    <row r="4" spans="1:12" ht="15.75" x14ac:dyDescent="0.25">
      <c r="A4" s="121" t="s">
        <v>105</v>
      </c>
      <c r="B4" s="177"/>
      <c r="C4" s="141">
        <f>SUM(C3*0.06)</f>
        <v>60</v>
      </c>
      <c r="D4" s="139"/>
      <c r="E4" s="149"/>
      <c r="F4" s="121"/>
      <c r="G4" s="121"/>
      <c r="H4" s="151"/>
      <c r="I4" s="121"/>
      <c r="J4" s="121"/>
      <c r="K4" s="121"/>
      <c r="L4" s="121"/>
    </row>
    <row r="5" spans="1:12" ht="15.75" x14ac:dyDescent="0.25">
      <c r="A5" s="121" t="s">
        <v>29</v>
      </c>
      <c r="B5" s="177"/>
      <c r="C5" s="141">
        <f>C3/3*0.2</f>
        <v>66.666666666666671</v>
      </c>
      <c r="D5" s="141"/>
      <c r="E5" s="149"/>
      <c r="F5" s="121"/>
      <c r="G5" s="121"/>
      <c r="H5" s="151"/>
      <c r="I5" s="121"/>
      <c r="J5" s="121"/>
      <c r="K5" s="121"/>
      <c r="L5" s="121"/>
    </row>
    <row r="6" spans="1:12" ht="15.75" x14ac:dyDescent="0.25">
      <c r="A6" s="121"/>
      <c r="B6" s="177"/>
      <c r="C6" s="121"/>
      <c r="D6" s="121"/>
      <c r="E6" s="121"/>
      <c r="F6" s="121"/>
      <c r="G6" s="121"/>
      <c r="H6" s="151"/>
      <c r="I6" s="121"/>
      <c r="J6" s="121"/>
      <c r="K6" s="121"/>
      <c r="L6" s="121"/>
    </row>
    <row r="7" spans="1:12" ht="15.75" x14ac:dyDescent="0.25">
      <c r="A7" s="149" t="s">
        <v>107</v>
      </c>
      <c r="B7" s="148"/>
      <c r="C7" s="164"/>
      <c r="D7" s="150"/>
      <c r="E7" s="164"/>
      <c r="F7" s="150">
        <v>63555</v>
      </c>
      <c r="G7" s="121"/>
      <c r="H7" s="151"/>
      <c r="I7" s="151"/>
      <c r="J7" s="121"/>
      <c r="K7" s="121"/>
      <c r="L7" s="121"/>
    </row>
    <row r="8" spans="1:12" ht="15.75" x14ac:dyDescent="0.25">
      <c r="A8" s="149" t="s">
        <v>108</v>
      </c>
      <c r="B8" s="148"/>
      <c r="C8" s="164"/>
      <c r="D8" s="150"/>
      <c r="E8" s="164"/>
      <c r="F8" s="150">
        <v>69911</v>
      </c>
      <c r="G8" s="121"/>
      <c r="H8" s="151"/>
      <c r="I8" s="151"/>
      <c r="J8" s="121"/>
      <c r="K8" s="121"/>
      <c r="L8" s="121"/>
    </row>
    <row r="9" spans="1:12" ht="15.75" x14ac:dyDescent="0.25">
      <c r="A9" s="149" t="s">
        <v>109</v>
      </c>
      <c r="B9" s="148"/>
      <c r="C9" s="164"/>
      <c r="D9" s="150"/>
      <c r="E9" s="164"/>
      <c r="F9" s="150">
        <v>42470</v>
      </c>
      <c r="G9" s="121"/>
      <c r="H9" s="151"/>
      <c r="I9" s="151"/>
      <c r="J9" s="121"/>
      <c r="K9" s="121"/>
      <c r="L9" s="121"/>
    </row>
    <row r="10" spans="1:12" ht="15.75" x14ac:dyDescent="0.25">
      <c r="A10" s="149"/>
      <c r="B10" s="148"/>
      <c r="C10" s="142"/>
      <c r="D10" s="142"/>
      <c r="E10" s="121"/>
      <c r="F10" s="121"/>
      <c r="G10" s="121"/>
      <c r="H10" s="151"/>
      <c r="I10" s="151"/>
      <c r="J10" s="121"/>
      <c r="K10" s="121"/>
      <c r="L10" s="121"/>
    </row>
    <row r="11" spans="1:12" ht="15.75" x14ac:dyDescent="0.25">
      <c r="A11" s="121"/>
      <c r="B11" s="177"/>
      <c r="C11" s="121"/>
      <c r="D11" s="121"/>
      <c r="E11" s="121"/>
      <c r="F11" s="121"/>
      <c r="G11" s="121"/>
      <c r="H11" s="151"/>
      <c r="I11" s="121"/>
      <c r="J11" s="152" t="s">
        <v>34</v>
      </c>
      <c r="K11" s="415" t="s">
        <v>35</v>
      </c>
      <c r="L11" s="416"/>
    </row>
    <row r="12" spans="1:12" ht="31.5" x14ac:dyDescent="0.25">
      <c r="A12" s="138" t="s">
        <v>36</v>
      </c>
      <c r="B12" s="229"/>
      <c r="C12" s="143" t="s">
        <v>80</v>
      </c>
      <c r="D12" s="230"/>
      <c r="E12" s="152" t="s">
        <v>38</v>
      </c>
      <c r="F12" s="152" t="s">
        <v>39</v>
      </c>
      <c r="G12" s="152" t="s">
        <v>40</v>
      </c>
      <c r="H12" s="165" t="s">
        <v>0</v>
      </c>
      <c r="I12" s="231"/>
      <c r="J12" s="143" t="s">
        <v>41</v>
      </c>
      <c r="K12" s="166" t="s">
        <v>42</v>
      </c>
      <c r="L12" s="152" t="s">
        <v>43</v>
      </c>
    </row>
    <row r="13" spans="1:12" ht="15.75" x14ac:dyDescent="0.25">
      <c r="A13" s="232"/>
      <c r="B13" s="229"/>
      <c r="C13" s="144"/>
      <c r="D13" s="230"/>
      <c r="E13" s="153"/>
      <c r="F13" s="154"/>
      <c r="G13" s="154"/>
      <c r="H13" s="167"/>
      <c r="I13" s="231"/>
      <c r="J13" s="171"/>
      <c r="K13" s="168"/>
      <c r="L13" s="169"/>
    </row>
    <row r="14" spans="1:12" ht="15.75" x14ac:dyDescent="0.25">
      <c r="A14" s="121">
        <v>1</v>
      </c>
      <c r="B14" s="177" t="s">
        <v>44</v>
      </c>
      <c r="C14" s="145">
        <v>50000</v>
      </c>
      <c r="D14" s="151"/>
      <c r="E14" s="155"/>
      <c r="F14" s="156"/>
      <c r="G14" s="156">
        <f>+C14</f>
        <v>50000</v>
      </c>
      <c r="H14" s="157">
        <f>SUM(F14+G14)</f>
        <v>50000</v>
      </c>
      <c r="I14" s="151"/>
      <c r="J14" s="172">
        <f>+H14</f>
        <v>50000</v>
      </c>
      <c r="K14" s="156"/>
      <c r="L14" s="157"/>
    </row>
    <row r="15" spans="1:12" ht="15.75" x14ac:dyDescent="0.25">
      <c r="A15" s="121"/>
      <c r="B15" s="177"/>
      <c r="C15" s="145"/>
      <c r="D15" s="151"/>
      <c r="E15" s="155"/>
      <c r="F15" s="156"/>
      <c r="G15" s="156"/>
      <c r="H15" s="157"/>
      <c r="I15" s="151"/>
      <c r="J15" s="172"/>
      <c r="K15" s="156"/>
      <c r="L15" s="157"/>
    </row>
    <row r="16" spans="1:12" ht="15.75" x14ac:dyDescent="0.25">
      <c r="A16" s="121">
        <v>2</v>
      </c>
      <c r="B16" s="177" t="s">
        <v>45</v>
      </c>
      <c r="C16" s="145">
        <v>89606</v>
      </c>
      <c r="D16" s="151"/>
      <c r="E16" s="155">
        <v>1</v>
      </c>
      <c r="F16" s="156">
        <f>+C16*E16</f>
        <v>89606</v>
      </c>
      <c r="G16" s="156"/>
      <c r="H16" s="157">
        <f>SUM(F16+G16)</f>
        <v>89606</v>
      </c>
      <c r="I16" s="151"/>
      <c r="J16" s="172">
        <f>+H16</f>
        <v>89606</v>
      </c>
      <c r="K16" s="156"/>
      <c r="L16" s="157"/>
    </row>
    <row r="17" spans="1:12" ht="15.75" x14ac:dyDescent="0.25">
      <c r="A17" s="121"/>
      <c r="B17" s="177"/>
      <c r="C17" s="145"/>
      <c r="D17" s="151"/>
      <c r="E17" s="155"/>
      <c r="F17" s="156"/>
      <c r="G17" s="156"/>
      <c r="H17" s="157"/>
      <c r="I17" s="145"/>
      <c r="J17" s="156"/>
      <c r="K17" s="156"/>
      <c r="L17" s="157"/>
    </row>
    <row r="18" spans="1:12" ht="15.75" x14ac:dyDescent="0.25">
      <c r="A18" s="121">
        <v>3</v>
      </c>
      <c r="B18" s="181" t="s">
        <v>176</v>
      </c>
      <c r="C18" s="145">
        <v>69911</v>
      </c>
      <c r="D18" s="151"/>
      <c r="E18" s="155">
        <v>1</v>
      </c>
      <c r="F18" s="156">
        <f>+C18*E18</f>
        <v>69911</v>
      </c>
      <c r="G18" s="156"/>
      <c r="H18" s="157">
        <f>SUM(F18+G18)</f>
        <v>69911</v>
      </c>
      <c r="I18" s="145"/>
      <c r="K18" s="156"/>
      <c r="L18" s="157">
        <f>+H18</f>
        <v>69911</v>
      </c>
    </row>
    <row r="19" spans="1:12" ht="15.75" x14ac:dyDescent="0.25">
      <c r="A19" s="121"/>
      <c r="B19" s="177"/>
      <c r="C19" s="145"/>
      <c r="D19" s="151"/>
      <c r="E19" s="155"/>
      <c r="F19" s="156"/>
      <c r="G19" s="156"/>
      <c r="H19" s="157"/>
      <c r="I19" s="151"/>
      <c r="J19" s="172"/>
      <c r="K19" s="156"/>
      <c r="L19" s="157"/>
    </row>
    <row r="20" spans="1:12" ht="15.75" x14ac:dyDescent="0.25">
      <c r="A20" s="121">
        <v>4</v>
      </c>
      <c r="B20" s="177" t="s">
        <v>46</v>
      </c>
      <c r="C20" s="145">
        <v>45865</v>
      </c>
      <c r="D20" s="151"/>
      <c r="E20" s="155">
        <v>1</v>
      </c>
      <c r="F20" s="156">
        <f>+C20*E20</f>
        <v>45865</v>
      </c>
      <c r="G20" s="156"/>
      <c r="H20" s="157">
        <f>SUM(F20+G20)</f>
        <v>45865</v>
      </c>
      <c r="I20" s="151"/>
      <c r="J20" s="172">
        <f>+H20</f>
        <v>45865</v>
      </c>
      <c r="K20" s="156"/>
      <c r="L20" s="157"/>
    </row>
    <row r="21" spans="1:12" ht="15.75" x14ac:dyDescent="0.25">
      <c r="A21" s="121"/>
      <c r="B21" s="177"/>
      <c r="C21" s="145"/>
      <c r="D21" s="151"/>
      <c r="E21" s="155"/>
      <c r="F21" s="156"/>
      <c r="G21" s="156"/>
      <c r="H21" s="157"/>
      <c r="I21" s="151"/>
      <c r="J21" s="172"/>
      <c r="K21" s="156"/>
      <c r="L21" s="157"/>
    </row>
    <row r="22" spans="1:12" ht="15.75" x14ac:dyDescent="0.25">
      <c r="A22" s="121">
        <v>5</v>
      </c>
      <c r="B22" s="177" t="s">
        <v>47</v>
      </c>
      <c r="C22" s="145">
        <v>42470</v>
      </c>
      <c r="D22" s="151"/>
      <c r="E22" s="155">
        <v>1</v>
      </c>
      <c r="F22" s="156">
        <f>+C22*E22</f>
        <v>42470</v>
      </c>
      <c r="G22" s="156"/>
      <c r="H22" s="157">
        <f>SUM(F22+G22)</f>
        <v>42470</v>
      </c>
      <c r="I22" s="151"/>
      <c r="J22" s="172">
        <f>+H22</f>
        <v>42470</v>
      </c>
      <c r="K22" s="156"/>
      <c r="L22" s="157"/>
    </row>
    <row r="23" spans="1:12" ht="15.75" x14ac:dyDescent="0.25">
      <c r="A23" s="121"/>
      <c r="B23" s="177"/>
      <c r="C23" s="145"/>
      <c r="D23" s="151"/>
      <c r="E23" s="155"/>
      <c r="F23" s="156"/>
      <c r="G23" s="156"/>
      <c r="H23" s="157"/>
      <c r="I23" s="151"/>
      <c r="J23" s="172"/>
      <c r="K23" s="156"/>
      <c r="L23" s="157"/>
    </row>
    <row r="24" spans="1:12" ht="15.75" x14ac:dyDescent="0.25">
      <c r="A24" s="121">
        <v>6</v>
      </c>
      <c r="B24" s="177" t="s">
        <v>113</v>
      </c>
      <c r="C24" s="145">
        <v>57775</v>
      </c>
      <c r="D24" s="151"/>
      <c r="E24" s="155">
        <v>1</v>
      </c>
      <c r="F24" s="156">
        <f>+C24*E24</f>
        <v>57775</v>
      </c>
      <c r="G24" s="156"/>
      <c r="H24" s="157">
        <f>SUM(F24+G24)</f>
        <v>57775</v>
      </c>
      <c r="I24" s="151"/>
      <c r="J24" s="172">
        <f>+H24</f>
        <v>57775</v>
      </c>
      <c r="K24" s="156"/>
      <c r="L24" s="157"/>
    </row>
    <row r="25" spans="1:12" ht="15.75" x14ac:dyDescent="0.25">
      <c r="A25" s="121"/>
      <c r="B25" s="177"/>
      <c r="C25" s="145"/>
      <c r="D25" s="151"/>
      <c r="E25" s="155"/>
      <c r="F25" s="156"/>
      <c r="G25" s="156"/>
      <c r="H25" s="157"/>
      <c r="I25" s="151"/>
      <c r="J25" s="172"/>
      <c r="K25" s="156"/>
      <c r="L25" s="157"/>
    </row>
    <row r="26" spans="1:12" ht="15.75" x14ac:dyDescent="0.25">
      <c r="A26" s="121">
        <v>7</v>
      </c>
      <c r="B26" s="177" t="s">
        <v>151</v>
      </c>
      <c r="C26" s="150">
        <v>42470</v>
      </c>
      <c r="D26" s="151"/>
      <c r="E26" s="207">
        <f>ROUND(C4/100,0)</f>
        <v>1</v>
      </c>
      <c r="F26" s="156">
        <f>SUM(E26*C26)</f>
        <v>42470</v>
      </c>
      <c r="G26" s="156"/>
      <c r="H26" s="157">
        <f>SUM(F26+G26)</f>
        <v>42470</v>
      </c>
      <c r="I26" s="145"/>
      <c r="J26" s="157">
        <f>SUM(H26+I26)</f>
        <v>42470</v>
      </c>
      <c r="K26" s="158"/>
      <c r="L26" s="159"/>
    </row>
    <row r="27" spans="1:12" ht="15.75" x14ac:dyDescent="0.25">
      <c r="A27" s="121"/>
      <c r="B27" s="177"/>
      <c r="C27" s="150"/>
      <c r="D27" s="151"/>
      <c r="E27" s="207"/>
      <c r="F27" s="156"/>
      <c r="G27" s="156"/>
      <c r="H27" s="157"/>
      <c r="I27" s="145"/>
      <c r="J27" s="156"/>
      <c r="K27" s="158"/>
      <c r="L27" s="159"/>
    </row>
    <row r="28" spans="1:12" ht="15.75" x14ac:dyDescent="0.25">
      <c r="A28" s="121">
        <v>8</v>
      </c>
      <c r="B28" s="177" t="s">
        <v>199</v>
      </c>
      <c r="C28" s="145"/>
      <c r="D28" s="151"/>
      <c r="E28" s="155"/>
      <c r="F28" s="156"/>
      <c r="G28" s="156">
        <v>10200</v>
      </c>
      <c r="H28" s="157">
        <v>10200</v>
      </c>
      <c r="I28" s="145"/>
      <c r="J28" s="156">
        <v>10200</v>
      </c>
      <c r="K28" s="156"/>
      <c r="L28" s="157"/>
    </row>
    <row r="29" spans="1:12" ht="15.75" x14ac:dyDescent="0.25">
      <c r="A29" s="121"/>
      <c r="B29" s="177"/>
      <c r="C29" s="145"/>
      <c r="D29" s="151"/>
      <c r="E29" s="155"/>
      <c r="F29" s="156"/>
      <c r="G29" s="156"/>
      <c r="H29" s="157"/>
      <c r="I29" s="145"/>
      <c r="J29" s="156"/>
      <c r="K29" s="156"/>
      <c r="L29" s="157"/>
    </row>
    <row r="30" spans="1:12" ht="15.75" x14ac:dyDescent="0.25">
      <c r="A30" s="121">
        <v>9</v>
      </c>
      <c r="B30" s="177" t="s">
        <v>50</v>
      </c>
      <c r="C30" s="145">
        <v>15000</v>
      </c>
      <c r="D30" s="151"/>
      <c r="E30" s="155"/>
      <c r="F30" s="156"/>
      <c r="G30" s="156">
        <f>+C30</f>
        <v>15000</v>
      </c>
      <c r="H30" s="157">
        <f>SUM(F30+G30)</f>
        <v>15000</v>
      </c>
      <c r="I30" s="151"/>
      <c r="J30" s="178">
        <f>+H30</f>
        <v>15000</v>
      </c>
      <c r="K30" s="156"/>
      <c r="L30" s="157"/>
    </row>
    <row r="31" spans="1:12" ht="15.75" x14ac:dyDescent="0.25">
      <c r="A31" s="121"/>
      <c r="B31" s="177"/>
      <c r="C31" s="145"/>
      <c r="D31" s="151"/>
      <c r="E31" s="155"/>
      <c r="F31" s="156"/>
      <c r="G31" s="156"/>
      <c r="H31" s="157"/>
      <c r="I31" s="151"/>
      <c r="J31" s="178"/>
      <c r="K31" s="156"/>
      <c r="L31" s="157"/>
    </row>
    <row r="32" spans="1:12" ht="15.75" x14ac:dyDescent="0.25">
      <c r="A32" s="121">
        <v>10</v>
      </c>
      <c r="B32" s="177" t="s">
        <v>51</v>
      </c>
      <c r="C32" s="145">
        <v>30000</v>
      </c>
      <c r="D32" s="151"/>
      <c r="E32" s="155"/>
      <c r="F32" s="156"/>
      <c r="G32" s="156">
        <f>+C32</f>
        <v>30000</v>
      </c>
      <c r="H32" s="157">
        <f>SUM(F32+G32)</f>
        <v>30000</v>
      </c>
      <c r="I32" s="151"/>
      <c r="J32" s="178">
        <f>+H32</f>
        <v>30000</v>
      </c>
      <c r="K32" s="156"/>
      <c r="L32" s="157"/>
    </row>
    <row r="33" spans="1:12" ht="15.75" x14ac:dyDescent="0.25">
      <c r="A33" s="121"/>
      <c r="B33" s="177"/>
      <c r="C33" s="145"/>
      <c r="D33" s="151"/>
      <c r="E33" s="155"/>
      <c r="F33" s="156"/>
      <c r="G33" s="156"/>
      <c r="H33" s="157"/>
      <c r="I33" s="151"/>
      <c r="J33" s="178"/>
      <c r="K33" s="156"/>
      <c r="L33" s="157"/>
    </row>
    <row r="34" spans="1:12" ht="15.75" x14ac:dyDescent="0.25">
      <c r="A34" s="121">
        <v>11</v>
      </c>
      <c r="B34" s="177" t="s">
        <v>52</v>
      </c>
      <c r="C34" s="145">
        <v>40000</v>
      </c>
      <c r="D34" s="151"/>
      <c r="E34" s="155"/>
      <c r="F34" s="156"/>
      <c r="G34" s="156">
        <f>+C34</f>
        <v>40000</v>
      </c>
      <c r="H34" s="157">
        <f>SUM(F34+G34)</f>
        <v>40000</v>
      </c>
      <c r="I34" s="151"/>
      <c r="J34" s="178">
        <f>+H34</f>
        <v>40000</v>
      </c>
      <c r="K34" s="156"/>
      <c r="L34" s="157"/>
    </row>
    <row r="35" spans="1:12" ht="15.75" x14ac:dyDescent="0.25">
      <c r="A35" s="121"/>
      <c r="B35" s="177"/>
      <c r="C35" s="145"/>
      <c r="D35" s="151"/>
      <c r="E35" s="155"/>
      <c r="F35" s="156"/>
      <c r="G35" s="156"/>
      <c r="H35" s="157"/>
      <c r="I35" s="151"/>
      <c r="J35" s="172"/>
      <c r="K35" s="156"/>
      <c r="L35" s="157"/>
    </row>
    <row r="36" spans="1:12" ht="15.75" x14ac:dyDescent="0.25">
      <c r="A36" s="121">
        <v>12</v>
      </c>
      <c r="B36" s="177" t="s">
        <v>53</v>
      </c>
      <c r="C36" s="145"/>
      <c r="D36" s="151"/>
      <c r="E36" s="155"/>
      <c r="F36" s="156"/>
      <c r="G36" s="156">
        <f>ROUND((F16+F18+F20+F22+F24+F38+F42+F44+F49+F51+F53+F55+F26+F57+F46)*0.15,0)</f>
        <v>233873</v>
      </c>
      <c r="H36" s="157">
        <f>SUM(G36)</f>
        <v>233873</v>
      </c>
      <c r="I36" s="151"/>
      <c r="J36" s="178">
        <f>ROUND((SUM(F16:F26)*0.15),0)</f>
        <v>52215</v>
      </c>
      <c r="K36" s="179">
        <f>ROUND(SUM(F38:F53,F55)*0.15,0)</f>
        <v>153059</v>
      </c>
      <c r="L36" s="180">
        <f>ROUND(F57*0.15,0)</f>
        <v>28600</v>
      </c>
    </row>
    <row r="37" spans="1:12" ht="15.75" x14ac:dyDescent="0.25">
      <c r="A37" s="121"/>
      <c r="B37" s="177"/>
      <c r="C37" s="145"/>
      <c r="D37" s="151"/>
      <c r="E37" s="155"/>
      <c r="F37" s="156"/>
      <c r="G37" s="156"/>
      <c r="H37" s="157"/>
      <c r="I37" s="151"/>
      <c r="J37" s="172"/>
      <c r="K37" s="158"/>
      <c r="L37" s="159"/>
    </row>
    <row r="38" spans="1:12" ht="15.75" x14ac:dyDescent="0.25">
      <c r="A38" s="121">
        <v>13</v>
      </c>
      <c r="B38" s="177" t="s">
        <v>54</v>
      </c>
      <c r="C38" s="145"/>
      <c r="D38" s="151"/>
      <c r="E38" s="155"/>
      <c r="F38" s="156">
        <f>(F16+F18+F20+F22+F42+F24+F44++F49+F51+F53+F57+F26+F55+F46)*0.2045</f>
        <v>264713.0209</v>
      </c>
      <c r="G38" s="156"/>
      <c r="H38" s="157">
        <f>(F16+F18+F20+F22+F24+F42+F44+F49+F51+F53+F57+F26+F55+F46)*0.2045</f>
        <v>264713.0209</v>
      </c>
      <c r="I38" s="151"/>
      <c r="J38" s="178">
        <f>ROUND((SUM(F16:F26)*0.2045),0)</f>
        <v>71186</v>
      </c>
      <c r="K38" s="179">
        <f>ROUND((SUM(F42:F55)*0.2045),0)</f>
        <v>154536</v>
      </c>
      <c r="L38" s="180">
        <f>ROUND(F57*0.2045,0)</f>
        <v>38991</v>
      </c>
    </row>
    <row r="39" spans="1:12" ht="15.75" x14ac:dyDescent="0.25">
      <c r="A39" s="121"/>
      <c r="B39" s="177"/>
      <c r="C39" s="145"/>
      <c r="D39" s="151"/>
      <c r="E39" s="155"/>
      <c r="F39" s="156"/>
      <c r="G39" s="156"/>
      <c r="H39" s="157"/>
      <c r="I39" s="151"/>
      <c r="J39" s="172"/>
      <c r="K39" s="158"/>
      <c r="L39" s="159"/>
    </row>
    <row r="40" spans="1:12" ht="15.75" x14ac:dyDescent="0.25">
      <c r="A40" s="121">
        <v>14</v>
      </c>
      <c r="B40" s="177" t="s">
        <v>55</v>
      </c>
      <c r="C40" s="145">
        <v>2000</v>
      </c>
      <c r="D40" s="151"/>
      <c r="E40" s="155"/>
      <c r="F40" s="156"/>
      <c r="G40" s="156">
        <f>E65*2000</f>
        <v>40000</v>
      </c>
      <c r="H40" s="157">
        <f t="shared" ref="H40" si="0">SUM(F40+G40)</f>
        <v>40000</v>
      </c>
      <c r="I40" s="151"/>
      <c r="J40" s="172">
        <f>(E16+E18+E20+E22+E24+E26)*2000</f>
        <v>12000</v>
      </c>
      <c r="K40" s="158">
        <f>ROUND(SUM(E44,E49,E51,E53,E55,E46)*2000,0)</f>
        <v>22000</v>
      </c>
      <c r="L40" s="159">
        <f>ROUND(E57*2000,0)</f>
        <v>6000</v>
      </c>
    </row>
    <row r="41" spans="1:12" ht="15.75" x14ac:dyDescent="0.25">
      <c r="A41" s="121"/>
      <c r="B41" s="177"/>
      <c r="C41" s="145"/>
      <c r="D41" s="151"/>
      <c r="E41" s="155"/>
      <c r="F41" s="156"/>
      <c r="G41" s="156"/>
      <c r="H41" s="157"/>
      <c r="I41" s="151"/>
      <c r="J41" s="172"/>
      <c r="K41" s="158"/>
      <c r="L41" s="159"/>
    </row>
    <row r="42" spans="1:12" ht="30.75" x14ac:dyDescent="0.25">
      <c r="A42" s="121">
        <v>15</v>
      </c>
      <c r="B42" s="177" t="s">
        <v>114</v>
      </c>
      <c r="C42" s="145"/>
      <c r="D42" s="151"/>
      <c r="E42" s="155"/>
      <c r="F42" s="156">
        <f>(F49+F53+F55+F44+F46+F57+F51)*0.1</f>
        <v>86031.200000000012</v>
      </c>
      <c r="G42" s="156"/>
      <c r="H42" s="157">
        <f>SUM(F42+G42)</f>
        <v>86031.200000000012</v>
      </c>
      <c r="I42" s="151"/>
      <c r="J42" s="172"/>
      <c r="K42" s="158">
        <f>ROUND((+F44+F49+F53+F55+F46+F51)*0.1,0)</f>
        <v>66965</v>
      </c>
      <c r="L42" s="159">
        <f>ROUND(F57*0.1,0)</f>
        <v>19067</v>
      </c>
    </row>
    <row r="43" spans="1:12" ht="15.75" x14ac:dyDescent="0.25">
      <c r="A43" s="121"/>
      <c r="B43" s="177"/>
      <c r="C43" s="145"/>
      <c r="D43" s="151"/>
      <c r="E43" s="155"/>
      <c r="F43" s="156"/>
      <c r="G43" s="156"/>
      <c r="H43" s="157"/>
      <c r="I43" s="151"/>
      <c r="J43" s="172"/>
      <c r="K43" s="156"/>
      <c r="L43" s="157"/>
    </row>
    <row r="44" spans="1:12" ht="15.75" x14ac:dyDescent="0.25">
      <c r="A44" s="121">
        <v>16</v>
      </c>
      <c r="B44" s="177" t="s">
        <v>57</v>
      </c>
      <c r="C44" s="145">
        <v>69911</v>
      </c>
      <c r="D44" s="151"/>
      <c r="E44" s="182">
        <f>ROUND((E57+E53+E51+E49+E55+E46)/6,0)</f>
        <v>2</v>
      </c>
      <c r="F44" s="156">
        <f>F8*E44</f>
        <v>139822</v>
      </c>
      <c r="G44" s="156"/>
      <c r="H44" s="157">
        <f t="shared" ref="H44" si="1">SUM(F44+G44)</f>
        <v>139822</v>
      </c>
      <c r="I44" s="151"/>
      <c r="J44" s="155"/>
      <c r="K44" s="158">
        <f>ROUND(F44*((+E$47+E$49+E$51)/(E$47+E$49+E$51+E$53)),0)</f>
        <v>69911</v>
      </c>
      <c r="L44" s="159">
        <f>ROUND((+F44*(E$53/(+E$47+E$49+E$51+E$53))),0)</f>
        <v>69911</v>
      </c>
    </row>
    <row r="45" spans="1:12" ht="15.75" x14ac:dyDescent="0.25">
      <c r="A45" s="121"/>
      <c r="B45" s="177"/>
      <c r="C45" s="145"/>
      <c r="D45" s="151"/>
      <c r="E45" s="155"/>
      <c r="F45" s="156"/>
      <c r="G45" s="156"/>
      <c r="H45" s="157"/>
      <c r="I45" s="151"/>
      <c r="J45" s="172"/>
      <c r="K45" s="156"/>
      <c r="L45" s="157"/>
    </row>
    <row r="46" spans="1:12" ht="15.75" x14ac:dyDescent="0.25">
      <c r="A46" s="181">
        <v>17</v>
      </c>
      <c r="B46" s="181" t="s">
        <v>160</v>
      </c>
      <c r="C46" s="145">
        <v>42470</v>
      </c>
      <c r="D46" s="151"/>
      <c r="E46" s="182">
        <f>ROUNDUP((E57+E53+E51+E49+E55)/6,0)</f>
        <v>2</v>
      </c>
      <c r="F46" s="183">
        <f>F9*E46</f>
        <v>84940</v>
      </c>
      <c r="G46" s="121"/>
      <c r="H46" s="157">
        <f t="shared" ref="H46" si="2">SUM(F46+G46)</f>
        <v>84940</v>
      </c>
      <c r="I46" s="151"/>
      <c r="J46" s="172"/>
      <c r="K46" s="158">
        <f>ROUND(F46*((+E$47+E$49+E$51)/(E$47+E$49+E$51+E$53)),0)</f>
        <v>42470</v>
      </c>
      <c r="L46" s="159">
        <f>ROUND((+F46*(E$53/(+E$47+E$49+E$51+E$53))),0)</f>
        <v>42470</v>
      </c>
    </row>
    <row r="47" spans="1:12" ht="15.75" x14ac:dyDescent="0.25">
      <c r="A47" s="121"/>
      <c r="B47" s="177"/>
      <c r="C47" s="145"/>
      <c r="D47" s="151"/>
      <c r="E47" s="155"/>
      <c r="F47" s="156"/>
      <c r="G47" s="156"/>
      <c r="H47" s="157"/>
      <c r="I47" s="151"/>
      <c r="J47" s="172"/>
      <c r="K47" s="156"/>
      <c r="L47" s="157"/>
    </row>
    <row r="48" spans="1:12" ht="15.75" x14ac:dyDescent="0.25">
      <c r="A48" s="232" t="s">
        <v>115</v>
      </c>
      <c r="B48" s="177"/>
      <c r="C48" s="145"/>
      <c r="D48" s="151"/>
      <c r="E48" s="155"/>
      <c r="F48" s="156"/>
      <c r="G48" s="156"/>
      <c r="H48" s="157"/>
      <c r="I48" s="151"/>
      <c r="J48" s="172"/>
      <c r="K48" s="156"/>
      <c r="L48" s="157"/>
    </row>
    <row r="49" spans="1:12" ht="15.75" x14ac:dyDescent="0.25">
      <c r="A49" s="234">
        <v>18</v>
      </c>
      <c r="B49" s="181" t="s">
        <v>60</v>
      </c>
      <c r="C49" s="147">
        <v>63555</v>
      </c>
      <c r="D49" s="235"/>
      <c r="E49" s="160">
        <f>ROUND(C4/30,0)</f>
        <v>2</v>
      </c>
      <c r="F49" s="161">
        <f>F7*E49</f>
        <v>127110</v>
      </c>
      <c r="G49" s="161"/>
      <c r="H49" s="157">
        <f t="shared" ref="H49" si="3">SUM(F49+G49)</f>
        <v>127110</v>
      </c>
      <c r="I49" s="235"/>
      <c r="J49" s="173"/>
      <c r="K49" s="156">
        <f>SUM(E49*F7)</f>
        <v>127110</v>
      </c>
      <c r="L49" s="157"/>
    </row>
    <row r="50" spans="1:12" ht="15.75" x14ac:dyDescent="0.25">
      <c r="A50" s="181"/>
      <c r="B50" s="181"/>
      <c r="C50" s="145"/>
      <c r="D50" s="151"/>
      <c r="E50" s="155"/>
      <c r="F50" s="156"/>
      <c r="G50" s="156"/>
      <c r="H50" s="157"/>
      <c r="I50" s="151"/>
      <c r="J50" s="172"/>
      <c r="K50" s="156"/>
      <c r="L50" s="157"/>
    </row>
    <row r="51" spans="1:12" ht="30" x14ac:dyDescent="0.25">
      <c r="A51" s="234">
        <v>19</v>
      </c>
      <c r="B51" s="181" t="s">
        <v>61</v>
      </c>
      <c r="C51" s="145">
        <v>63555</v>
      </c>
      <c r="D51" s="151"/>
      <c r="E51" s="155">
        <v>1</v>
      </c>
      <c r="F51" s="156">
        <f>F7*E51</f>
        <v>63555</v>
      </c>
      <c r="G51" s="156"/>
      <c r="H51" s="157">
        <f t="shared" ref="H51" si="4">SUM(F51+G51)</f>
        <v>63555</v>
      </c>
      <c r="I51" s="151"/>
      <c r="J51" s="172" t="s">
        <v>62</v>
      </c>
      <c r="K51" s="156">
        <f>SUM(E51*F7)</f>
        <v>63555</v>
      </c>
      <c r="L51" s="157"/>
    </row>
    <row r="52" spans="1:12" ht="15.75" x14ac:dyDescent="0.25">
      <c r="A52" s="181"/>
      <c r="B52" s="181"/>
      <c r="C52" s="145"/>
      <c r="D52" s="151"/>
      <c r="E52" s="155"/>
      <c r="F52" s="156"/>
      <c r="G52" s="156"/>
      <c r="H52" s="157"/>
      <c r="I52" s="151"/>
      <c r="J52" s="172"/>
      <c r="K52" s="156"/>
      <c r="L52" s="157"/>
    </row>
    <row r="53" spans="1:12" ht="15.75" x14ac:dyDescent="0.25">
      <c r="A53" s="181">
        <v>20</v>
      </c>
      <c r="B53" s="181" t="s">
        <v>63</v>
      </c>
      <c r="C53" s="145">
        <v>63555</v>
      </c>
      <c r="D53" s="151"/>
      <c r="E53" s="155">
        <f>ROUND(C4/20,0)</f>
        <v>3</v>
      </c>
      <c r="F53" s="156">
        <f>F7*E53</f>
        <v>190665</v>
      </c>
      <c r="G53" s="156"/>
      <c r="H53" s="157">
        <f t="shared" ref="H53" si="5">SUM(F53+G53)</f>
        <v>190665</v>
      </c>
      <c r="I53" s="151"/>
      <c r="J53" s="172"/>
      <c r="K53" s="156">
        <f>SUM(E53*F7)</f>
        <v>190665</v>
      </c>
      <c r="L53" s="157"/>
    </row>
    <row r="54" spans="1:12" ht="15.75" x14ac:dyDescent="0.25">
      <c r="A54" s="181"/>
      <c r="B54" s="181"/>
      <c r="C54" s="145"/>
      <c r="D54" s="151"/>
      <c r="E54" s="155"/>
      <c r="F54" s="156"/>
      <c r="G54" s="156"/>
      <c r="H54" s="157"/>
      <c r="I54" s="151"/>
      <c r="J54" s="172"/>
      <c r="K54" s="156"/>
      <c r="L54" s="157"/>
    </row>
    <row r="55" spans="1:12" ht="15.75" x14ac:dyDescent="0.25">
      <c r="A55" s="181">
        <v>21</v>
      </c>
      <c r="B55" s="181" t="s">
        <v>111</v>
      </c>
      <c r="C55" s="145">
        <v>63555</v>
      </c>
      <c r="D55" s="151"/>
      <c r="E55" s="236">
        <f>ROUNDDOWN(C5/40,0)</f>
        <v>1</v>
      </c>
      <c r="F55" s="156">
        <f>F7*E55</f>
        <v>63555</v>
      </c>
      <c r="G55" s="156"/>
      <c r="H55" s="157">
        <f t="shared" ref="H55" si="6">SUM(F55+G55)</f>
        <v>63555</v>
      </c>
      <c r="I55" s="145"/>
      <c r="J55" s="121"/>
      <c r="K55" s="151">
        <f>SUM(E55*F7)</f>
        <v>63555</v>
      </c>
      <c r="L55" s="170"/>
    </row>
    <row r="56" spans="1:12" ht="15.75" x14ac:dyDescent="0.25">
      <c r="A56" s="181"/>
      <c r="B56" s="181"/>
      <c r="C56" s="145"/>
      <c r="D56" s="151"/>
      <c r="E56" s="155"/>
      <c r="F56" s="156"/>
      <c r="G56" s="156"/>
      <c r="H56" s="157"/>
      <c r="I56" s="145"/>
      <c r="J56" s="121"/>
      <c r="K56" s="121"/>
      <c r="L56" s="170"/>
    </row>
    <row r="57" spans="1:12" ht="15.75" x14ac:dyDescent="0.25">
      <c r="A57" s="181">
        <v>22</v>
      </c>
      <c r="B57" s="181" t="s">
        <v>112</v>
      </c>
      <c r="C57" s="145">
        <v>63555</v>
      </c>
      <c r="D57" s="151"/>
      <c r="E57" s="236">
        <f>ROUND(C5/20,0)</f>
        <v>3</v>
      </c>
      <c r="F57" s="156">
        <f>SUM(E57*F7)</f>
        <v>190665</v>
      </c>
      <c r="G57" s="121"/>
      <c r="H57" s="157">
        <f t="shared" ref="H57" si="7">SUM(F57+G57)</f>
        <v>190665</v>
      </c>
      <c r="I57" s="145"/>
      <c r="J57" s="121"/>
      <c r="K57" s="151"/>
      <c r="L57" s="157">
        <f>SUM(H57)</f>
        <v>190665</v>
      </c>
    </row>
    <row r="58" spans="1:12" ht="15.75" x14ac:dyDescent="0.25">
      <c r="A58" s="181"/>
      <c r="B58" s="181"/>
      <c r="C58" s="145"/>
      <c r="D58" s="151"/>
      <c r="E58" s="155"/>
      <c r="F58" s="156"/>
      <c r="G58" s="121"/>
      <c r="H58" s="157"/>
      <c r="I58" s="145"/>
      <c r="J58" s="121"/>
      <c r="K58" s="121"/>
      <c r="L58" s="170"/>
    </row>
    <row r="59" spans="1:12" ht="15.75" x14ac:dyDescent="0.25">
      <c r="A59" s="181">
        <v>23</v>
      </c>
      <c r="B59" s="181" t="s">
        <v>155</v>
      </c>
      <c r="C59" s="146"/>
      <c r="D59" s="237"/>
      <c r="E59" s="155"/>
      <c r="F59" s="156"/>
      <c r="G59" s="156">
        <f>ROUND(175*C3,0)</f>
        <v>175000</v>
      </c>
      <c r="H59" s="157">
        <f t="shared" ref="H59" si="8">SUM(F59+G59)</f>
        <v>175000</v>
      </c>
      <c r="I59" s="151"/>
      <c r="J59" s="172" t="s">
        <v>62</v>
      </c>
      <c r="K59" s="156">
        <f>ROUND(175/2*C3,0)</f>
        <v>87500</v>
      </c>
      <c r="L59" s="157">
        <f>ROUND(175/2*C3,0)</f>
        <v>87500</v>
      </c>
    </row>
    <row r="60" spans="1:12" ht="15.75" x14ac:dyDescent="0.25">
      <c r="A60" s="181"/>
      <c r="B60" s="181"/>
      <c r="C60" s="145"/>
      <c r="D60" s="151"/>
      <c r="E60" s="155"/>
      <c r="F60" s="156"/>
      <c r="G60" s="156"/>
      <c r="H60" s="157"/>
      <c r="I60" s="151"/>
      <c r="J60" s="172"/>
      <c r="K60" s="156"/>
      <c r="L60" s="157"/>
    </row>
    <row r="61" spans="1:12" ht="15.75" x14ac:dyDescent="0.25">
      <c r="A61" s="181">
        <v>24</v>
      </c>
      <c r="B61" s="181" t="s">
        <v>66</v>
      </c>
      <c r="C61" s="145">
        <v>11500</v>
      </c>
      <c r="D61" s="151"/>
      <c r="E61" s="155"/>
      <c r="F61" s="156"/>
      <c r="G61" s="156">
        <f>(E16+E44+E55+E49+E51+E53+E57+E46)*11500</f>
        <v>172500</v>
      </c>
      <c r="H61" s="157">
        <f>SUM(F61:G61)</f>
        <v>172500</v>
      </c>
      <c r="I61" s="151"/>
      <c r="J61" s="178">
        <f>ROUND(11500*E16,0)</f>
        <v>11500</v>
      </c>
      <c r="K61" s="158">
        <f>(ROUND(11500*(+E53+E51+E49+E55+E44+E46),0))</f>
        <v>126500</v>
      </c>
      <c r="L61" s="159">
        <f>ROUND(11500*E57,0)</f>
        <v>34500</v>
      </c>
    </row>
    <row r="62" spans="1:12" ht="15.75" x14ac:dyDescent="0.25">
      <c r="A62" s="181"/>
      <c r="B62" s="181"/>
      <c r="C62" s="145"/>
      <c r="D62" s="151"/>
      <c r="E62" s="155"/>
      <c r="F62" s="121"/>
      <c r="G62" s="156"/>
      <c r="H62" s="157"/>
      <c r="I62" s="121"/>
      <c r="J62" s="172"/>
      <c r="K62" s="158"/>
      <c r="L62" s="159"/>
    </row>
    <row r="63" spans="1:12" ht="15.75" x14ac:dyDescent="0.25">
      <c r="A63" s="181">
        <v>25</v>
      </c>
      <c r="B63" s="181" t="s">
        <v>82</v>
      </c>
      <c r="C63" s="145"/>
      <c r="D63" s="151"/>
      <c r="E63" s="155"/>
      <c r="F63" s="121"/>
      <c r="G63" s="156">
        <v>42320</v>
      </c>
      <c r="H63" s="157">
        <f t="shared" ref="H63" si="9">SUM(F63+G63)</f>
        <v>42320</v>
      </c>
      <c r="I63" s="238"/>
      <c r="J63" s="156"/>
      <c r="K63" s="158"/>
      <c r="L63" s="159">
        <f>+H63</f>
        <v>42320</v>
      </c>
    </row>
    <row r="64" spans="1:12" ht="16.5" thickBot="1" x14ac:dyDescent="0.3">
      <c r="A64" s="121"/>
      <c r="B64" s="239"/>
      <c r="C64" s="184"/>
      <c r="D64" s="151"/>
      <c r="E64" s="155"/>
      <c r="F64" s="121"/>
      <c r="G64" s="121"/>
      <c r="H64" s="157"/>
      <c r="I64" s="240"/>
      <c r="J64" s="151"/>
      <c r="K64" s="121"/>
      <c r="L64" s="157"/>
    </row>
    <row r="65" spans="1:12" ht="16.5" thickBot="1" x14ac:dyDescent="0.3">
      <c r="A65" s="121"/>
      <c r="B65" s="241" t="s">
        <v>67</v>
      </c>
      <c r="C65" s="185"/>
      <c r="D65" s="187"/>
      <c r="E65" s="186">
        <f>SUM(E13:E64)</f>
        <v>20</v>
      </c>
      <c r="F65" s="187">
        <f>SUM(F13:F63)</f>
        <v>1559153.2209000001</v>
      </c>
      <c r="G65" s="187">
        <f>SUM(G14:G63)</f>
        <v>808893</v>
      </c>
      <c r="H65" s="188">
        <f>SUM(H14:H64)</f>
        <v>2368046.2209000001</v>
      </c>
      <c r="I65" s="187"/>
      <c r="J65" s="189">
        <f>SUM(J14:J63)</f>
        <v>570287</v>
      </c>
      <c r="K65" s="187">
        <f>SUM(K14:K64)</f>
        <v>1167826</v>
      </c>
      <c r="L65" s="190">
        <f>SUM(L13:L64)</f>
        <v>629935</v>
      </c>
    </row>
    <row r="66" spans="1:12" ht="15.75" x14ac:dyDescent="0.25">
      <c r="A66" s="121"/>
      <c r="B66" s="242"/>
      <c r="C66" s="149"/>
      <c r="D66" s="149"/>
      <c r="E66" s="142"/>
      <c r="F66" s="121"/>
      <c r="G66" s="121"/>
      <c r="H66" s="151"/>
      <c r="I66" s="121"/>
      <c r="J66" s="151"/>
      <c r="K66" s="243"/>
      <c r="L66" s="244"/>
    </row>
  </sheetData>
  <mergeCells count="1">
    <mergeCell ref="K11:L11"/>
  </mergeCells>
  <pageMargins left="0.7" right="0.7" top="0.75" bottom="0.75" header="0.3" footer="0.3"/>
  <pageSetup scale="50" orientation="portrait" verticalDpi="599"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R1422"/>
  <sheetViews>
    <sheetView topLeftCell="A1211" zoomScale="70" zoomScaleNormal="70" zoomScaleSheetLayoutView="70" workbookViewId="0">
      <selection activeCell="K293" sqref="K293"/>
    </sheetView>
  </sheetViews>
  <sheetFormatPr defaultRowHeight="15" x14ac:dyDescent="0.2"/>
  <cols>
    <col min="1" max="1" width="9.125" style="264" customWidth="1"/>
    <col min="2" max="2" width="43.625" style="264" customWidth="1"/>
    <col min="3" max="3" width="19.625" style="264" customWidth="1"/>
    <col min="4" max="4" width="1.125" style="264" customWidth="1"/>
    <col min="5" max="5" width="15.625" style="264" customWidth="1"/>
    <col min="6" max="6" width="18" style="264" customWidth="1"/>
    <col min="7" max="7" width="20" style="264" customWidth="1"/>
    <col min="8" max="8" width="20.625" style="265" customWidth="1"/>
    <col min="9" max="9" width="1" style="264" customWidth="1"/>
    <col min="10" max="10" width="18.25" style="264" customWidth="1"/>
    <col min="11" max="11" width="21.75" style="264" customWidth="1"/>
    <col min="12" max="12" width="24.375" style="264" customWidth="1"/>
    <col min="13" max="13" width="9.625" style="264" customWidth="1"/>
    <col min="14" max="14" width="10.875" style="264" bestFit="1" customWidth="1"/>
    <col min="15" max="250" width="9.125" style="264"/>
    <col min="251" max="251" width="9.125" style="264" customWidth="1"/>
    <col min="252" max="252" width="46" style="264" customWidth="1"/>
    <col min="253" max="253" width="15" style="264" customWidth="1"/>
    <col min="254" max="254" width="2.75" style="264" customWidth="1"/>
    <col min="255" max="255" width="12.875" style="264" customWidth="1"/>
    <col min="256" max="258" width="16.375" style="264" customWidth="1"/>
    <col min="259" max="259" width="2.75" style="264" customWidth="1"/>
    <col min="260" max="260" width="15.875" style="264" customWidth="1"/>
    <col min="261" max="261" width="17.25" style="264" customWidth="1"/>
    <col min="262" max="262" width="20.375" style="264" customWidth="1"/>
    <col min="263" max="263" width="11.75" style="264" bestFit="1" customWidth="1"/>
    <col min="264" max="264" width="10.25" style="264" bestFit="1" customWidth="1"/>
    <col min="265" max="265" width="14.125" style="264" bestFit="1" customWidth="1"/>
    <col min="266" max="506" width="9.125" style="264"/>
    <col min="507" max="507" width="9.125" style="264" customWidth="1"/>
    <col min="508" max="508" width="46" style="264" customWidth="1"/>
    <col min="509" max="509" width="15" style="264" customWidth="1"/>
    <col min="510" max="510" width="2.75" style="264" customWidth="1"/>
    <col min="511" max="511" width="12.875" style="264" customWidth="1"/>
    <col min="512" max="514" width="16.375" style="264" customWidth="1"/>
    <col min="515" max="515" width="2.75" style="264" customWidth="1"/>
    <col min="516" max="516" width="15.875" style="264" customWidth="1"/>
    <col min="517" max="517" width="17.25" style="264" customWidth="1"/>
    <col min="518" max="518" width="20.375" style="264" customWidth="1"/>
    <col min="519" max="519" width="11.75" style="264" bestFit="1" customWidth="1"/>
    <col min="520" max="520" width="10.25" style="264" bestFit="1" customWidth="1"/>
    <col min="521" max="521" width="14.125" style="264" bestFit="1" customWidth="1"/>
    <col min="522" max="762" width="9.125" style="264"/>
    <col min="763" max="763" width="9.125" style="264" customWidth="1"/>
    <col min="764" max="764" width="46" style="264" customWidth="1"/>
    <col min="765" max="765" width="15" style="264" customWidth="1"/>
    <col min="766" max="766" width="2.75" style="264" customWidth="1"/>
    <col min="767" max="767" width="12.875" style="264" customWidth="1"/>
    <col min="768" max="770" width="16.375" style="264" customWidth="1"/>
    <col min="771" max="771" width="2.75" style="264" customWidth="1"/>
    <col min="772" max="772" width="15.875" style="264" customWidth="1"/>
    <col min="773" max="773" width="17.25" style="264" customWidth="1"/>
    <col min="774" max="774" width="20.375" style="264" customWidth="1"/>
    <col min="775" max="775" width="11.75" style="264" bestFit="1" customWidth="1"/>
    <col min="776" max="776" width="10.25" style="264" bestFit="1" customWidth="1"/>
    <col min="777" max="777" width="14.125" style="264" bestFit="1" customWidth="1"/>
    <col min="778" max="1018" width="9.125" style="264"/>
    <col min="1019" max="1019" width="9.125" style="264" customWidth="1"/>
    <col min="1020" max="1020" width="46" style="264" customWidth="1"/>
    <col min="1021" max="1021" width="15" style="264" customWidth="1"/>
    <col min="1022" max="1022" width="2.75" style="264" customWidth="1"/>
    <col min="1023" max="1023" width="12.875" style="264" customWidth="1"/>
    <col min="1024" max="1026" width="16.375" style="264" customWidth="1"/>
    <col min="1027" max="1027" width="2.75" style="264" customWidth="1"/>
    <col min="1028" max="1028" width="15.875" style="264" customWidth="1"/>
    <col min="1029" max="1029" width="17.25" style="264" customWidth="1"/>
    <col min="1030" max="1030" width="20.375" style="264" customWidth="1"/>
    <col min="1031" max="1031" width="11.75" style="264" bestFit="1" customWidth="1"/>
    <col min="1032" max="1032" width="10.25" style="264" bestFit="1" customWidth="1"/>
    <col min="1033" max="1033" width="14.125" style="264" bestFit="1" customWidth="1"/>
    <col min="1034" max="1274" width="9.125" style="264"/>
    <col min="1275" max="1275" width="9.125" style="264" customWidth="1"/>
    <col min="1276" max="1276" width="46" style="264" customWidth="1"/>
    <col min="1277" max="1277" width="15" style="264" customWidth="1"/>
    <col min="1278" max="1278" width="2.75" style="264" customWidth="1"/>
    <col min="1279" max="1279" width="12.875" style="264" customWidth="1"/>
    <col min="1280" max="1282" width="16.375" style="264" customWidth="1"/>
    <col min="1283" max="1283" width="2.75" style="264" customWidth="1"/>
    <col min="1284" max="1284" width="15.875" style="264" customWidth="1"/>
    <col min="1285" max="1285" width="17.25" style="264" customWidth="1"/>
    <col min="1286" max="1286" width="20.375" style="264" customWidth="1"/>
    <col min="1287" max="1287" width="11.75" style="264" bestFit="1" customWidth="1"/>
    <col min="1288" max="1288" width="10.25" style="264" bestFit="1" customWidth="1"/>
    <col min="1289" max="1289" width="14.125" style="264" bestFit="1" customWidth="1"/>
    <col min="1290" max="1530" width="9.125" style="264"/>
    <col min="1531" max="1531" width="9.125" style="264" customWidth="1"/>
    <col min="1532" max="1532" width="46" style="264" customWidth="1"/>
    <col min="1533" max="1533" width="15" style="264" customWidth="1"/>
    <col min="1534" max="1534" width="2.75" style="264" customWidth="1"/>
    <col min="1535" max="1535" width="12.875" style="264" customWidth="1"/>
    <col min="1536" max="1538" width="16.375" style="264" customWidth="1"/>
    <col min="1539" max="1539" width="2.75" style="264" customWidth="1"/>
    <col min="1540" max="1540" width="15.875" style="264" customWidth="1"/>
    <col min="1541" max="1541" width="17.25" style="264" customWidth="1"/>
    <col min="1542" max="1542" width="20.375" style="264" customWidth="1"/>
    <col min="1543" max="1543" width="11.75" style="264" bestFit="1" customWidth="1"/>
    <col min="1544" max="1544" width="10.25" style="264" bestFit="1" customWidth="1"/>
    <col min="1545" max="1545" width="14.125" style="264" bestFit="1" customWidth="1"/>
    <col min="1546" max="1786" width="9.125" style="264"/>
    <col min="1787" max="1787" width="9.125" style="264" customWidth="1"/>
    <col min="1788" max="1788" width="46" style="264" customWidth="1"/>
    <col min="1789" max="1789" width="15" style="264" customWidth="1"/>
    <col min="1790" max="1790" width="2.75" style="264" customWidth="1"/>
    <col min="1791" max="1791" width="12.875" style="264" customWidth="1"/>
    <col min="1792" max="1794" width="16.375" style="264" customWidth="1"/>
    <col min="1795" max="1795" width="2.75" style="264" customWidth="1"/>
    <col min="1796" max="1796" width="15.875" style="264" customWidth="1"/>
    <col min="1797" max="1797" width="17.25" style="264" customWidth="1"/>
    <col min="1798" max="1798" width="20.375" style="264" customWidth="1"/>
    <col min="1799" max="1799" width="11.75" style="264" bestFit="1" customWidth="1"/>
    <col min="1800" max="1800" width="10.25" style="264" bestFit="1" customWidth="1"/>
    <col min="1801" max="1801" width="14.125" style="264" bestFit="1" customWidth="1"/>
    <col min="1802" max="2042" width="9.125" style="264"/>
    <col min="2043" max="2043" width="9.125" style="264" customWidth="1"/>
    <col min="2044" max="2044" width="46" style="264" customWidth="1"/>
    <col min="2045" max="2045" width="15" style="264" customWidth="1"/>
    <col min="2046" max="2046" width="2.75" style="264" customWidth="1"/>
    <col min="2047" max="2047" width="12.875" style="264" customWidth="1"/>
    <col min="2048" max="2050" width="16.375" style="264" customWidth="1"/>
    <col min="2051" max="2051" width="2.75" style="264" customWidth="1"/>
    <col min="2052" max="2052" width="15.875" style="264" customWidth="1"/>
    <col min="2053" max="2053" width="17.25" style="264" customWidth="1"/>
    <col min="2054" max="2054" width="20.375" style="264" customWidth="1"/>
    <col min="2055" max="2055" width="11.75" style="264" bestFit="1" customWidth="1"/>
    <col min="2056" max="2056" width="10.25" style="264" bestFit="1" customWidth="1"/>
    <col min="2057" max="2057" width="14.125" style="264" bestFit="1" customWidth="1"/>
    <col min="2058" max="2298" width="9.125" style="264"/>
    <col min="2299" max="2299" width="9.125" style="264" customWidth="1"/>
    <col min="2300" max="2300" width="46" style="264" customWidth="1"/>
    <col min="2301" max="2301" width="15" style="264" customWidth="1"/>
    <col min="2302" max="2302" width="2.75" style="264" customWidth="1"/>
    <col min="2303" max="2303" width="12.875" style="264" customWidth="1"/>
    <col min="2304" max="2306" width="16.375" style="264" customWidth="1"/>
    <col min="2307" max="2307" width="2.75" style="264" customWidth="1"/>
    <col min="2308" max="2308" width="15.875" style="264" customWidth="1"/>
    <col min="2309" max="2309" width="17.25" style="264" customWidth="1"/>
    <col min="2310" max="2310" width="20.375" style="264" customWidth="1"/>
    <col min="2311" max="2311" width="11.75" style="264" bestFit="1" customWidth="1"/>
    <col min="2312" max="2312" width="10.25" style="264" bestFit="1" customWidth="1"/>
    <col min="2313" max="2313" width="14.125" style="264" bestFit="1" customWidth="1"/>
    <col min="2314" max="2554" width="9.125" style="264"/>
    <col min="2555" max="2555" width="9.125" style="264" customWidth="1"/>
    <col min="2556" max="2556" width="46" style="264" customWidth="1"/>
    <col min="2557" max="2557" width="15" style="264" customWidth="1"/>
    <col min="2558" max="2558" width="2.75" style="264" customWidth="1"/>
    <col min="2559" max="2559" width="12.875" style="264" customWidth="1"/>
    <col min="2560" max="2562" width="16.375" style="264" customWidth="1"/>
    <col min="2563" max="2563" width="2.75" style="264" customWidth="1"/>
    <col min="2564" max="2564" width="15.875" style="264" customWidth="1"/>
    <col min="2565" max="2565" width="17.25" style="264" customWidth="1"/>
    <col min="2566" max="2566" width="20.375" style="264" customWidth="1"/>
    <col min="2567" max="2567" width="11.75" style="264" bestFit="1" customWidth="1"/>
    <col min="2568" max="2568" width="10.25" style="264" bestFit="1" customWidth="1"/>
    <col min="2569" max="2569" width="14.125" style="264" bestFit="1" customWidth="1"/>
    <col min="2570" max="2810" width="9.125" style="264"/>
    <col min="2811" max="2811" width="9.125" style="264" customWidth="1"/>
    <col min="2812" max="2812" width="46" style="264" customWidth="1"/>
    <col min="2813" max="2813" width="15" style="264" customWidth="1"/>
    <col min="2814" max="2814" width="2.75" style="264" customWidth="1"/>
    <col min="2815" max="2815" width="12.875" style="264" customWidth="1"/>
    <col min="2816" max="2818" width="16.375" style="264" customWidth="1"/>
    <col min="2819" max="2819" width="2.75" style="264" customWidth="1"/>
    <col min="2820" max="2820" width="15.875" style="264" customWidth="1"/>
    <col min="2821" max="2821" width="17.25" style="264" customWidth="1"/>
    <col min="2822" max="2822" width="20.375" style="264" customWidth="1"/>
    <col min="2823" max="2823" width="11.75" style="264" bestFit="1" customWidth="1"/>
    <col min="2824" max="2824" width="10.25" style="264" bestFit="1" customWidth="1"/>
    <col min="2825" max="2825" width="14.125" style="264" bestFit="1" customWidth="1"/>
    <col min="2826" max="3066" width="9.125" style="264"/>
    <col min="3067" max="3067" width="9.125" style="264" customWidth="1"/>
    <col min="3068" max="3068" width="46" style="264" customWidth="1"/>
    <col min="3069" max="3069" width="15" style="264" customWidth="1"/>
    <col min="3070" max="3070" width="2.75" style="264" customWidth="1"/>
    <col min="3071" max="3071" width="12.875" style="264" customWidth="1"/>
    <col min="3072" max="3074" width="16.375" style="264" customWidth="1"/>
    <col min="3075" max="3075" width="2.75" style="264" customWidth="1"/>
    <col min="3076" max="3076" width="15.875" style="264" customWidth="1"/>
    <col min="3077" max="3077" width="17.25" style="264" customWidth="1"/>
    <col min="3078" max="3078" width="20.375" style="264" customWidth="1"/>
    <col min="3079" max="3079" width="11.75" style="264" bestFit="1" customWidth="1"/>
    <col min="3080" max="3080" width="10.25" style="264" bestFit="1" customWidth="1"/>
    <col min="3081" max="3081" width="14.125" style="264" bestFit="1" customWidth="1"/>
    <col min="3082" max="3322" width="9.125" style="264"/>
    <col min="3323" max="3323" width="9.125" style="264" customWidth="1"/>
    <col min="3324" max="3324" width="46" style="264" customWidth="1"/>
    <col min="3325" max="3325" width="15" style="264" customWidth="1"/>
    <col min="3326" max="3326" width="2.75" style="264" customWidth="1"/>
    <col min="3327" max="3327" width="12.875" style="264" customWidth="1"/>
    <col min="3328" max="3330" width="16.375" style="264" customWidth="1"/>
    <col min="3331" max="3331" width="2.75" style="264" customWidth="1"/>
    <col min="3332" max="3332" width="15.875" style="264" customWidth="1"/>
    <col min="3333" max="3333" width="17.25" style="264" customWidth="1"/>
    <col min="3334" max="3334" width="20.375" style="264" customWidth="1"/>
    <col min="3335" max="3335" width="11.75" style="264" bestFit="1" customWidth="1"/>
    <col min="3336" max="3336" width="10.25" style="264" bestFit="1" customWidth="1"/>
    <col min="3337" max="3337" width="14.125" style="264" bestFit="1" customWidth="1"/>
    <col min="3338" max="3578" width="9.125" style="264"/>
    <col min="3579" max="3579" width="9.125" style="264" customWidth="1"/>
    <col min="3580" max="3580" width="46" style="264" customWidth="1"/>
    <col min="3581" max="3581" width="15" style="264" customWidth="1"/>
    <col min="3582" max="3582" width="2.75" style="264" customWidth="1"/>
    <col min="3583" max="3583" width="12.875" style="264" customWidth="1"/>
    <col min="3584" max="3586" width="16.375" style="264" customWidth="1"/>
    <col min="3587" max="3587" width="2.75" style="264" customWidth="1"/>
    <col min="3588" max="3588" width="15.875" style="264" customWidth="1"/>
    <col min="3589" max="3589" width="17.25" style="264" customWidth="1"/>
    <col min="3590" max="3590" width="20.375" style="264" customWidth="1"/>
    <col min="3591" max="3591" width="11.75" style="264" bestFit="1" customWidth="1"/>
    <col min="3592" max="3592" width="10.25" style="264" bestFit="1" customWidth="1"/>
    <col min="3593" max="3593" width="14.125" style="264" bestFit="1" customWidth="1"/>
    <col min="3594" max="3834" width="9.125" style="264"/>
    <col min="3835" max="3835" width="9.125" style="264" customWidth="1"/>
    <col min="3836" max="3836" width="46" style="264" customWidth="1"/>
    <col min="3837" max="3837" width="15" style="264" customWidth="1"/>
    <col min="3838" max="3838" width="2.75" style="264" customWidth="1"/>
    <col min="3839" max="3839" width="12.875" style="264" customWidth="1"/>
    <col min="3840" max="3842" width="16.375" style="264" customWidth="1"/>
    <col min="3843" max="3843" width="2.75" style="264" customWidth="1"/>
    <col min="3844" max="3844" width="15.875" style="264" customWidth="1"/>
    <col min="3845" max="3845" width="17.25" style="264" customWidth="1"/>
    <col min="3846" max="3846" width="20.375" style="264" customWidth="1"/>
    <col min="3847" max="3847" width="11.75" style="264" bestFit="1" customWidth="1"/>
    <col min="3848" max="3848" width="10.25" style="264" bestFit="1" customWidth="1"/>
    <col min="3849" max="3849" width="14.125" style="264" bestFit="1" customWidth="1"/>
    <col min="3850" max="4090" width="9.125" style="264"/>
    <col min="4091" max="4091" width="9.125" style="264" customWidth="1"/>
    <col min="4092" max="4092" width="46" style="264" customWidth="1"/>
    <col min="4093" max="4093" width="15" style="264" customWidth="1"/>
    <col min="4094" max="4094" width="2.75" style="264" customWidth="1"/>
    <col min="4095" max="4095" width="12.875" style="264" customWidth="1"/>
    <col min="4096" max="4098" width="16.375" style="264" customWidth="1"/>
    <col min="4099" max="4099" width="2.75" style="264" customWidth="1"/>
    <col min="4100" max="4100" width="15.875" style="264" customWidth="1"/>
    <col min="4101" max="4101" width="17.25" style="264" customWidth="1"/>
    <col min="4102" max="4102" width="20.375" style="264" customWidth="1"/>
    <col min="4103" max="4103" width="11.75" style="264" bestFit="1" customWidth="1"/>
    <col min="4104" max="4104" width="10.25" style="264" bestFit="1" customWidth="1"/>
    <col min="4105" max="4105" width="14.125" style="264" bestFit="1" customWidth="1"/>
    <col min="4106" max="4346" width="9.125" style="264"/>
    <col min="4347" max="4347" width="9.125" style="264" customWidth="1"/>
    <col min="4348" max="4348" width="46" style="264" customWidth="1"/>
    <col min="4349" max="4349" width="15" style="264" customWidth="1"/>
    <col min="4350" max="4350" width="2.75" style="264" customWidth="1"/>
    <col min="4351" max="4351" width="12.875" style="264" customWidth="1"/>
    <col min="4352" max="4354" width="16.375" style="264" customWidth="1"/>
    <col min="4355" max="4355" width="2.75" style="264" customWidth="1"/>
    <col min="4356" max="4356" width="15.875" style="264" customWidth="1"/>
    <col min="4357" max="4357" width="17.25" style="264" customWidth="1"/>
    <col min="4358" max="4358" width="20.375" style="264" customWidth="1"/>
    <col min="4359" max="4359" width="11.75" style="264" bestFit="1" customWidth="1"/>
    <col min="4360" max="4360" width="10.25" style="264" bestFit="1" customWidth="1"/>
    <col min="4361" max="4361" width="14.125" style="264" bestFit="1" customWidth="1"/>
    <col min="4362" max="4602" width="9.125" style="264"/>
    <col min="4603" max="4603" width="9.125" style="264" customWidth="1"/>
    <col min="4604" max="4604" width="46" style="264" customWidth="1"/>
    <col min="4605" max="4605" width="15" style="264" customWidth="1"/>
    <col min="4606" max="4606" width="2.75" style="264" customWidth="1"/>
    <col min="4607" max="4607" width="12.875" style="264" customWidth="1"/>
    <col min="4608" max="4610" width="16.375" style="264" customWidth="1"/>
    <col min="4611" max="4611" width="2.75" style="264" customWidth="1"/>
    <col min="4612" max="4612" width="15.875" style="264" customWidth="1"/>
    <col min="4613" max="4613" width="17.25" style="264" customWidth="1"/>
    <col min="4614" max="4614" width="20.375" style="264" customWidth="1"/>
    <col min="4615" max="4615" width="11.75" style="264" bestFit="1" customWidth="1"/>
    <col min="4616" max="4616" width="10.25" style="264" bestFit="1" customWidth="1"/>
    <col min="4617" max="4617" width="14.125" style="264" bestFit="1" customWidth="1"/>
    <col min="4618" max="4858" width="9.125" style="264"/>
    <col min="4859" max="4859" width="9.125" style="264" customWidth="1"/>
    <col min="4860" max="4860" width="46" style="264" customWidth="1"/>
    <col min="4861" max="4861" width="15" style="264" customWidth="1"/>
    <col min="4862" max="4862" width="2.75" style="264" customWidth="1"/>
    <col min="4863" max="4863" width="12.875" style="264" customWidth="1"/>
    <col min="4864" max="4866" width="16.375" style="264" customWidth="1"/>
    <col min="4867" max="4867" width="2.75" style="264" customWidth="1"/>
    <col min="4868" max="4868" width="15.875" style="264" customWidth="1"/>
    <col min="4869" max="4869" width="17.25" style="264" customWidth="1"/>
    <col min="4870" max="4870" width="20.375" style="264" customWidth="1"/>
    <col min="4871" max="4871" width="11.75" style="264" bestFit="1" customWidth="1"/>
    <col min="4872" max="4872" width="10.25" style="264" bestFit="1" customWidth="1"/>
    <col min="4873" max="4873" width="14.125" style="264" bestFit="1" customWidth="1"/>
    <col min="4874" max="5114" width="9.125" style="264"/>
    <col min="5115" max="5115" width="9.125" style="264" customWidth="1"/>
    <col min="5116" max="5116" width="46" style="264" customWidth="1"/>
    <col min="5117" max="5117" width="15" style="264" customWidth="1"/>
    <col min="5118" max="5118" width="2.75" style="264" customWidth="1"/>
    <col min="5119" max="5119" width="12.875" style="264" customWidth="1"/>
    <col min="5120" max="5122" width="16.375" style="264" customWidth="1"/>
    <col min="5123" max="5123" width="2.75" style="264" customWidth="1"/>
    <col min="5124" max="5124" width="15.875" style="264" customWidth="1"/>
    <col min="5125" max="5125" width="17.25" style="264" customWidth="1"/>
    <col min="5126" max="5126" width="20.375" style="264" customWidth="1"/>
    <col min="5127" max="5127" width="11.75" style="264" bestFit="1" customWidth="1"/>
    <col min="5128" max="5128" width="10.25" style="264" bestFit="1" customWidth="1"/>
    <col min="5129" max="5129" width="14.125" style="264" bestFit="1" customWidth="1"/>
    <col min="5130" max="5370" width="9.125" style="264"/>
    <col min="5371" max="5371" width="9.125" style="264" customWidth="1"/>
    <col min="5372" max="5372" width="46" style="264" customWidth="1"/>
    <col min="5373" max="5373" width="15" style="264" customWidth="1"/>
    <col min="5374" max="5374" width="2.75" style="264" customWidth="1"/>
    <col min="5375" max="5375" width="12.875" style="264" customWidth="1"/>
    <col min="5376" max="5378" width="16.375" style="264" customWidth="1"/>
    <col min="5379" max="5379" width="2.75" style="264" customWidth="1"/>
    <col min="5380" max="5380" width="15.875" style="264" customWidth="1"/>
    <col min="5381" max="5381" width="17.25" style="264" customWidth="1"/>
    <col min="5382" max="5382" width="20.375" style="264" customWidth="1"/>
    <col min="5383" max="5383" width="11.75" style="264" bestFit="1" customWidth="1"/>
    <col min="5384" max="5384" width="10.25" style="264" bestFit="1" customWidth="1"/>
    <col min="5385" max="5385" width="14.125" style="264" bestFit="1" customWidth="1"/>
    <col min="5386" max="5626" width="9.125" style="264"/>
    <col min="5627" max="5627" width="9.125" style="264" customWidth="1"/>
    <col min="5628" max="5628" width="46" style="264" customWidth="1"/>
    <col min="5629" max="5629" width="15" style="264" customWidth="1"/>
    <col min="5630" max="5630" width="2.75" style="264" customWidth="1"/>
    <col min="5631" max="5631" width="12.875" style="264" customWidth="1"/>
    <col min="5632" max="5634" width="16.375" style="264" customWidth="1"/>
    <col min="5635" max="5635" width="2.75" style="264" customWidth="1"/>
    <col min="5636" max="5636" width="15.875" style="264" customWidth="1"/>
    <col min="5637" max="5637" width="17.25" style="264" customWidth="1"/>
    <col min="5638" max="5638" width="20.375" style="264" customWidth="1"/>
    <col min="5639" max="5639" width="11.75" style="264" bestFit="1" customWidth="1"/>
    <col min="5640" max="5640" width="10.25" style="264" bestFit="1" customWidth="1"/>
    <col min="5641" max="5641" width="14.125" style="264" bestFit="1" customWidth="1"/>
    <col min="5642" max="5882" width="9.125" style="264"/>
    <col min="5883" max="5883" width="9.125" style="264" customWidth="1"/>
    <col min="5884" max="5884" width="46" style="264" customWidth="1"/>
    <col min="5885" max="5885" width="15" style="264" customWidth="1"/>
    <col min="5886" max="5886" width="2.75" style="264" customWidth="1"/>
    <col min="5887" max="5887" width="12.875" style="264" customWidth="1"/>
    <col min="5888" max="5890" width="16.375" style="264" customWidth="1"/>
    <col min="5891" max="5891" width="2.75" style="264" customWidth="1"/>
    <col min="5892" max="5892" width="15.875" style="264" customWidth="1"/>
    <col min="5893" max="5893" width="17.25" style="264" customWidth="1"/>
    <col min="5894" max="5894" width="20.375" style="264" customWidth="1"/>
    <col min="5895" max="5895" width="11.75" style="264" bestFit="1" customWidth="1"/>
    <col min="5896" max="5896" width="10.25" style="264" bestFit="1" customWidth="1"/>
    <col min="5897" max="5897" width="14.125" style="264" bestFit="1" customWidth="1"/>
    <col min="5898" max="6138" width="9.125" style="264"/>
    <col min="6139" max="6139" width="9.125" style="264" customWidth="1"/>
    <col min="6140" max="6140" width="46" style="264" customWidth="1"/>
    <col min="6141" max="6141" width="15" style="264" customWidth="1"/>
    <col min="6142" max="6142" width="2.75" style="264" customWidth="1"/>
    <col min="6143" max="6143" width="12.875" style="264" customWidth="1"/>
    <col min="6144" max="6146" width="16.375" style="264" customWidth="1"/>
    <col min="6147" max="6147" width="2.75" style="264" customWidth="1"/>
    <col min="6148" max="6148" width="15.875" style="264" customWidth="1"/>
    <col min="6149" max="6149" width="17.25" style="264" customWidth="1"/>
    <col min="6150" max="6150" width="20.375" style="264" customWidth="1"/>
    <col min="6151" max="6151" width="11.75" style="264" bestFit="1" customWidth="1"/>
    <col min="6152" max="6152" width="10.25" style="264" bestFit="1" customWidth="1"/>
    <col min="6153" max="6153" width="14.125" style="264" bestFit="1" customWidth="1"/>
    <col min="6154" max="6394" width="9.125" style="264"/>
    <col min="6395" max="6395" width="9.125" style="264" customWidth="1"/>
    <col min="6396" max="6396" width="46" style="264" customWidth="1"/>
    <col min="6397" max="6397" width="15" style="264" customWidth="1"/>
    <col min="6398" max="6398" width="2.75" style="264" customWidth="1"/>
    <col min="6399" max="6399" width="12.875" style="264" customWidth="1"/>
    <col min="6400" max="6402" width="16.375" style="264" customWidth="1"/>
    <col min="6403" max="6403" width="2.75" style="264" customWidth="1"/>
    <col min="6404" max="6404" width="15.875" style="264" customWidth="1"/>
    <col min="6405" max="6405" width="17.25" style="264" customWidth="1"/>
    <col min="6406" max="6406" width="20.375" style="264" customWidth="1"/>
    <col min="6407" max="6407" width="11.75" style="264" bestFit="1" customWidth="1"/>
    <col min="6408" max="6408" width="10.25" style="264" bestFit="1" customWidth="1"/>
    <col min="6409" max="6409" width="14.125" style="264" bestFit="1" customWidth="1"/>
    <col min="6410" max="6650" width="9.125" style="264"/>
    <col min="6651" max="6651" width="9.125" style="264" customWidth="1"/>
    <col min="6652" max="6652" width="46" style="264" customWidth="1"/>
    <col min="6653" max="6653" width="15" style="264" customWidth="1"/>
    <col min="6654" max="6654" width="2.75" style="264" customWidth="1"/>
    <col min="6655" max="6655" width="12.875" style="264" customWidth="1"/>
    <col min="6656" max="6658" width="16.375" style="264" customWidth="1"/>
    <col min="6659" max="6659" width="2.75" style="264" customWidth="1"/>
    <col min="6660" max="6660" width="15.875" style="264" customWidth="1"/>
    <col min="6661" max="6661" width="17.25" style="264" customWidth="1"/>
    <col min="6662" max="6662" width="20.375" style="264" customWidth="1"/>
    <col min="6663" max="6663" width="11.75" style="264" bestFit="1" customWidth="1"/>
    <col min="6664" max="6664" width="10.25" style="264" bestFit="1" customWidth="1"/>
    <col min="6665" max="6665" width="14.125" style="264" bestFit="1" customWidth="1"/>
    <col min="6666" max="6906" width="9.125" style="264"/>
    <col min="6907" max="6907" width="9.125" style="264" customWidth="1"/>
    <col min="6908" max="6908" width="46" style="264" customWidth="1"/>
    <col min="6909" max="6909" width="15" style="264" customWidth="1"/>
    <col min="6910" max="6910" width="2.75" style="264" customWidth="1"/>
    <col min="6911" max="6911" width="12.875" style="264" customWidth="1"/>
    <col min="6912" max="6914" width="16.375" style="264" customWidth="1"/>
    <col min="6915" max="6915" width="2.75" style="264" customWidth="1"/>
    <col min="6916" max="6916" width="15.875" style="264" customWidth="1"/>
    <col min="6917" max="6917" width="17.25" style="264" customWidth="1"/>
    <col min="6918" max="6918" width="20.375" style="264" customWidth="1"/>
    <col min="6919" max="6919" width="11.75" style="264" bestFit="1" customWidth="1"/>
    <col min="6920" max="6920" width="10.25" style="264" bestFit="1" customWidth="1"/>
    <col min="6921" max="6921" width="14.125" style="264" bestFit="1" customWidth="1"/>
    <col min="6922" max="7162" width="9.125" style="264"/>
    <col min="7163" max="7163" width="9.125" style="264" customWidth="1"/>
    <col min="7164" max="7164" width="46" style="264" customWidth="1"/>
    <col min="7165" max="7165" width="15" style="264" customWidth="1"/>
    <col min="7166" max="7166" width="2.75" style="264" customWidth="1"/>
    <col min="7167" max="7167" width="12.875" style="264" customWidth="1"/>
    <col min="7168" max="7170" width="16.375" style="264" customWidth="1"/>
    <col min="7171" max="7171" width="2.75" style="264" customWidth="1"/>
    <col min="7172" max="7172" width="15.875" style="264" customWidth="1"/>
    <col min="7173" max="7173" width="17.25" style="264" customWidth="1"/>
    <col min="7174" max="7174" width="20.375" style="264" customWidth="1"/>
    <col min="7175" max="7175" width="11.75" style="264" bestFit="1" customWidth="1"/>
    <col min="7176" max="7176" width="10.25" style="264" bestFit="1" customWidth="1"/>
    <col min="7177" max="7177" width="14.125" style="264" bestFit="1" customWidth="1"/>
    <col min="7178" max="7418" width="9.125" style="264"/>
    <col min="7419" max="7419" width="9.125" style="264" customWidth="1"/>
    <col min="7420" max="7420" width="46" style="264" customWidth="1"/>
    <col min="7421" max="7421" width="15" style="264" customWidth="1"/>
    <col min="7422" max="7422" width="2.75" style="264" customWidth="1"/>
    <col min="7423" max="7423" width="12.875" style="264" customWidth="1"/>
    <col min="7424" max="7426" width="16.375" style="264" customWidth="1"/>
    <col min="7427" max="7427" width="2.75" style="264" customWidth="1"/>
    <col min="7428" max="7428" width="15.875" style="264" customWidth="1"/>
    <col min="7429" max="7429" width="17.25" style="264" customWidth="1"/>
    <col min="7430" max="7430" width="20.375" style="264" customWidth="1"/>
    <col min="7431" max="7431" width="11.75" style="264" bestFit="1" customWidth="1"/>
    <col min="7432" max="7432" width="10.25" style="264" bestFit="1" customWidth="1"/>
    <col min="7433" max="7433" width="14.125" style="264" bestFit="1" customWidth="1"/>
    <col min="7434" max="7674" width="9.125" style="264"/>
    <col min="7675" max="7675" width="9.125" style="264" customWidth="1"/>
    <col min="7676" max="7676" width="46" style="264" customWidth="1"/>
    <col min="7677" max="7677" width="15" style="264" customWidth="1"/>
    <col min="7678" max="7678" width="2.75" style="264" customWidth="1"/>
    <col min="7679" max="7679" width="12.875" style="264" customWidth="1"/>
    <col min="7680" max="7682" width="16.375" style="264" customWidth="1"/>
    <col min="7683" max="7683" width="2.75" style="264" customWidth="1"/>
    <col min="7684" max="7684" width="15.875" style="264" customWidth="1"/>
    <col min="7685" max="7685" width="17.25" style="264" customWidth="1"/>
    <col min="7686" max="7686" width="20.375" style="264" customWidth="1"/>
    <col min="7687" max="7687" width="11.75" style="264" bestFit="1" customWidth="1"/>
    <col min="7688" max="7688" width="10.25" style="264" bestFit="1" customWidth="1"/>
    <col min="7689" max="7689" width="14.125" style="264" bestFit="1" customWidth="1"/>
    <col min="7690" max="7930" width="9.125" style="264"/>
    <col min="7931" max="7931" width="9.125" style="264" customWidth="1"/>
    <col min="7932" max="7932" width="46" style="264" customWidth="1"/>
    <col min="7933" max="7933" width="15" style="264" customWidth="1"/>
    <col min="7934" max="7934" width="2.75" style="264" customWidth="1"/>
    <col min="7935" max="7935" width="12.875" style="264" customWidth="1"/>
    <col min="7936" max="7938" width="16.375" style="264" customWidth="1"/>
    <col min="7939" max="7939" width="2.75" style="264" customWidth="1"/>
    <col min="7940" max="7940" width="15.875" style="264" customWidth="1"/>
    <col min="7941" max="7941" width="17.25" style="264" customWidth="1"/>
    <col min="7942" max="7942" width="20.375" style="264" customWidth="1"/>
    <col min="7943" max="7943" width="11.75" style="264" bestFit="1" customWidth="1"/>
    <col min="7944" max="7944" width="10.25" style="264" bestFit="1" customWidth="1"/>
    <col min="7945" max="7945" width="14.125" style="264" bestFit="1" customWidth="1"/>
    <col min="7946" max="8186" width="9.125" style="264"/>
    <col min="8187" max="8187" width="9.125" style="264" customWidth="1"/>
    <col min="8188" max="8188" width="46" style="264" customWidth="1"/>
    <col min="8189" max="8189" width="15" style="264" customWidth="1"/>
    <col min="8190" max="8190" width="2.75" style="264" customWidth="1"/>
    <col min="8191" max="8191" width="12.875" style="264" customWidth="1"/>
    <col min="8192" max="8194" width="16.375" style="264" customWidth="1"/>
    <col min="8195" max="8195" width="2.75" style="264" customWidth="1"/>
    <col min="8196" max="8196" width="15.875" style="264" customWidth="1"/>
    <col min="8197" max="8197" width="17.25" style="264" customWidth="1"/>
    <col min="8198" max="8198" width="20.375" style="264" customWidth="1"/>
    <col min="8199" max="8199" width="11.75" style="264" bestFit="1" customWidth="1"/>
    <col min="8200" max="8200" width="10.25" style="264" bestFit="1" customWidth="1"/>
    <col min="8201" max="8201" width="14.125" style="264" bestFit="1" customWidth="1"/>
    <col min="8202" max="8442" width="9.125" style="264"/>
    <col min="8443" max="8443" width="9.125" style="264" customWidth="1"/>
    <col min="8444" max="8444" width="46" style="264" customWidth="1"/>
    <col min="8445" max="8445" width="15" style="264" customWidth="1"/>
    <col min="8446" max="8446" width="2.75" style="264" customWidth="1"/>
    <col min="8447" max="8447" width="12.875" style="264" customWidth="1"/>
    <col min="8448" max="8450" width="16.375" style="264" customWidth="1"/>
    <col min="8451" max="8451" width="2.75" style="264" customWidth="1"/>
    <col min="8452" max="8452" width="15.875" style="264" customWidth="1"/>
    <col min="8453" max="8453" width="17.25" style="264" customWidth="1"/>
    <col min="8454" max="8454" width="20.375" style="264" customWidth="1"/>
    <col min="8455" max="8455" width="11.75" style="264" bestFit="1" customWidth="1"/>
    <col min="8456" max="8456" width="10.25" style="264" bestFit="1" customWidth="1"/>
    <col min="8457" max="8457" width="14.125" style="264" bestFit="1" customWidth="1"/>
    <col min="8458" max="8698" width="9.125" style="264"/>
    <col min="8699" max="8699" width="9.125" style="264" customWidth="1"/>
    <col min="8700" max="8700" width="46" style="264" customWidth="1"/>
    <col min="8701" max="8701" width="15" style="264" customWidth="1"/>
    <col min="8702" max="8702" width="2.75" style="264" customWidth="1"/>
    <col min="8703" max="8703" width="12.875" style="264" customWidth="1"/>
    <col min="8704" max="8706" width="16.375" style="264" customWidth="1"/>
    <col min="8707" max="8707" width="2.75" style="264" customWidth="1"/>
    <col min="8708" max="8708" width="15.875" style="264" customWidth="1"/>
    <col min="8709" max="8709" width="17.25" style="264" customWidth="1"/>
    <col min="8710" max="8710" width="20.375" style="264" customWidth="1"/>
    <col min="8711" max="8711" width="11.75" style="264" bestFit="1" customWidth="1"/>
    <col min="8712" max="8712" width="10.25" style="264" bestFit="1" customWidth="1"/>
    <col min="8713" max="8713" width="14.125" style="264" bestFit="1" customWidth="1"/>
    <col min="8714" max="8954" width="9.125" style="264"/>
    <col min="8955" max="8955" width="9.125" style="264" customWidth="1"/>
    <col min="8956" max="8956" width="46" style="264" customWidth="1"/>
    <col min="8957" max="8957" width="15" style="264" customWidth="1"/>
    <col min="8958" max="8958" width="2.75" style="264" customWidth="1"/>
    <col min="8959" max="8959" width="12.875" style="264" customWidth="1"/>
    <col min="8960" max="8962" width="16.375" style="264" customWidth="1"/>
    <col min="8963" max="8963" width="2.75" style="264" customWidth="1"/>
    <col min="8964" max="8964" width="15.875" style="264" customWidth="1"/>
    <col min="8965" max="8965" width="17.25" style="264" customWidth="1"/>
    <col min="8966" max="8966" width="20.375" style="264" customWidth="1"/>
    <col min="8967" max="8967" width="11.75" style="264" bestFit="1" customWidth="1"/>
    <col min="8968" max="8968" width="10.25" style="264" bestFit="1" customWidth="1"/>
    <col min="8969" max="8969" width="14.125" style="264" bestFit="1" customWidth="1"/>
    <col min="8970" max="9210" width="9.125" style="264"/>
    <col min="9211" max="9211" width="9.125" style="264" customWidth="1"/>
    <col min="9212" max="9212" width="46" style="264" customWidth="1"/>
    <col min="9213" max="9213" width="15" style="264" customWidth="1"/>
    <col min="9214" max="9214" width="2.75" style="264" customWidth="1"/>
    <col min="9215" max="9215" width="12.875" style="264" customWidth="1"/>
    <col min="9216" max="9218" width="16.375" style="264" customWidth="1"/>
    <col min="9219" max="9219" width="2.75" style="264" customWidth="1"/>
    <col min="9220" max="9220" width="15.875" style="264" customWidth="1"/>
    <col min="9221" max="9221" width="17.25" style="264" customWidth="1"/>
    <col min="9222" max="9222" width="20.375" style="264" customWidth="1"/>
    <col min="9223" max="9223" width="11.75" style="264" bestFit="1" customWidth="1"/>
    <col min="9224" max="9224" width="10.25" style="264" bestFit="1" customWidth="1"/>
    <col min="9225" max="9225" width="14.125" style="264" bestFit="1" customWidth="1"/>
    <col min="9226" max="9466" width="9.125" style="264"/>
    <col min="9467" max="9467" width="9.125" style="264" customWidth="1"/>
    <col min="9468" max="9468" width="46" style="264" customWidth="1"/>
    <col min="9469" max="9469" width="15" style="264" customWidth="1"/>
    <col min="9470" max="9470" width="2.75" style="264" customWidth="1"/>
    <col min="9471" max="9471" width="12.875" style="264" customWidth="1"/>
    <col min="9472" max="9474" width="16.375" style="264" customWidth="1"/>
    <col min="9475" max="9475" width="2.75" style="264" customWidth="1"/>
    <col min="9476" max="9476" width="15.875" style="264" customWidth="1"/>
    <col min="9477" max="9477" width="17.25" style="264" customWidth="1"/>
    <col min="9478" max="9478" width="20.375" style="264" customWidth="1"/>
    <col min="9479" max="9479" width="11.75" style="264" bestFit="1" customWidth="1"/>
    <col min="9480" max="9480" width="10.25" style="264" bestFit="1" customWidth="1"/>
    <col min="9481" max="9481" width="14.125" style="264" bestFit="1" customWidth="1"/>
    <col min="9482" max="9722" width="9.125" style="264"/>
    <col min="9723" max="9723" width="9.125" style="264" customWidth="1"/>
    <col min="9724" max="9724" width="46" style="264" customWidth="1"/>
    <col min="9725" max="9725" width="15" style="264" customWidth="1"/>
    <col min="9726" max="9726" width="2.75" style="264" customWidth="1"/>
    <col min="9727" max="9727" width="12.875" style="264" customWidth="1"/>
    <col min="9728" max="9730" width="16.375" style="264" customWidth="1"/>
    <col min="9731" max="9731" width="2.75" style="264" customWidth="1"/>
    <col min="9732" max="9732" width="15.875" style="264" customWidth="1"/>
    <col min="9733" max="9733" width="17.25" style="264" customWidth="1"/>
    <col min="9734" max="9734" width="20.375" style="264" customWidth="1"/>
    <col min="9735" max="9735" width="11.75" style="264" bestFit="1" customWidth="1"/>
    <col min="9736" max="9736" width="10.25" style="264" bestFit="1" customWidth="1"/>
    <col min="9737" max="9737" width="14.125" style="264" bestFit="1" customWidth="1"/>
    <col min="9738" max="9978" width="9.125" style="264"/>
    <col min="9979" max="9979" width="9.125" style="264" customWidth="1"/>
    <col min="9980" max="9980" width="46" style="264" customWidth="1"/>
    <col min="9981" max="9981" width="15" style="264" customWidth="1"/>
    <col min="9982" max="9982" width="2.75" style="264" customWidth="1"/>
    <col min="9983" max="9983" width="12.875" style="264" customWidth="1"/>
    <col min="9984" max="9986" width="16.375" style="264" customWidth="1"/>
    <col min="9987" max="9987" width="2.75" style="264" customWidth="1"/>
    <col min="9988" max="9988" width="15.875" style="264" customWidth="1"/>
    <col min="9989" max="9989" width="17.25" style="264" customWidth="1"/>
    <col min="9990" max="9990" width="20.375" style="264" customWidth="1"/>
    <col min="9991" max="9991" width="11.75" style="264" bestFit="1" customWidth="1"/>
    <col min="9992" max="9992" width="10.25" style="264" bestFit="1" customWidth="1"/>
    <col min="9993" max="9993" width="14.125" style="264" bestFit="1" customWidth="1"/>
    <col min="9994" max="10234" width="9.125" style="264"/>
    <col min="10235" max="10235" width="9.125" style="264" customWidth="1"/>
    <col min="10236" max="10236" width="46" style="264" customWidth="1"/>
    <col min="10237" max="10237" width="15" style="264" customWidth="1"/>
    <col min="10238" max="10238" width="2.75" style="264" customWidth="1"/>
    <col min="10239" max="10239" width="12.875" style="264" customWidth="1"/>
    <col min="10240" max="10242" width="16.375" style="264" customWidth="1"/>
    <col min="10243" max="10243" width="2.75" style="264" customWidth="1"/>
    <col min="10244" max="10244" width="15.875" style="264" customWidth="1"/>
    <col min="10245" max="10245" width="17.25" style="264" customWidth="1"/>
    <col min="10246" max="10246" width="20.375" style="264" customWidth="1"/>
    <col min="10247" max="10247" width="11.75" style="264" bestFit="1" customWidth="1"/>
    <col min="10248" max="10248" width="10.25" style="264" bestFit="1" customWidth="1"/>
    <col min="10249" max="10249" width="14.125" style="264" bestFit="1" customWidth="1"/>
    <col min="10250" max="10490" width="9.125" style="264"/>
    <col min="10491" max="10491" width="9.125" style="264" customWidth="1"/>
    <col min="10492" max="10492" width="46" style="264" customWidth="1"/>
    <col min="10493" max="10493" width="15" style="264" customWidth="1"/>
    <col min="10494" max="10494" width="2.75" style="264" customWidth="1"/>
    <col min="10495" max="10495" width="12.875" style="264" customWidth="1"/>
    <col min="10496" max="10498" width="16.375" style="264" customWidth="1"/>
    <col min="10499" max="10499" width="2.75" style="264" customWidth="1"/>
    <col min="10500" max="10500" width="15.875" style="264" customWidth="1"/>
    <col min="10501" max="10501" width="17.25" style="264" customWidth="1"/>
    <col min="10502" max="10502" width="20.375" style="264" customWidth="1"/>
    <col min="10503" max="10503" width="11.75" style="264" bestFit="1" customWidth="1"/>
    <col min="10504" max="10504" width="10.25" style="264" bestFit="1" customWidth="1"/>
    <col min="10505" max="10505" width="14.125" style="264" bestFit="1" customWidth="1"/>
    <col min="10506" max="10746" width="9.125" style="264"/>
    <col min="10747" max="10747" width="9.125" style="264" customWidth="1"/>
    <col min="10748" max="10748" width="46" style="264" customWidth="1"/>
    <col min="10749" max="10749" width="15" style="264" customWidth="1"/>
    <col min="10750" max="10750" width="2.75" style="264" customWidth="1"/>
    <col min="10751" max="10751" width="12.875" style="264" customWidth="1"/>
    <col min="10752" max="10754" width="16.375" style="264" customWidth="1"/>
    <col min="10755" max="10755" width="2.75" style="264" customWidth="1"/>
    <col min="10756" max="10756" width="15.875" style="264" customWidth="1"/>
    <col min="10757" max="10757" width="17.25" style="264" customWidth="1"/>
    <col min="10758" max="10758" width="20.375" style="264" customWidth="1"/>
    <col min="10759" max="10759" width="11.75" style="264" bestFit="1" customWidth="1"/>
    <col min="10760" max="10760" width="10.25" style="264" bestFit="1" customWidth="1"/>
    <col min="10761" max="10761" width="14.125" style="264" bestFit="1" customWidth="1"/>
    <col min="10762" max="11002" width="9.125" style="264"/>
    <col min="11003" max="11003" width="9.125" style="264" customWidth="1"/>
    <col min="11004" max="11004" width="46" style="264" customWidth="1"/>
    <col min="11005" max="11005" width="15" style="264" customWidth="1"/>
    <col min="11006" max="11006" width="2.75" style="264" customWidth="1"/>
    <col min="11007" max="11007" width="12.875" style="264" customWidth="1"/>
    <col min="11008" max="11010" width="16.375" style="264" customWidth="1"/>
    <col min="11011" max="11011" width="2.75" style="264" customWidth="1"/>
    <col min="11012" max="11012" width="15.875" style="264" customWidth="1"/>
    <col min="11013" max="11013" width="17.25" style="264" customWidth="1"/>
    <col min="11014" max="11014" width="20.375" style="264" customWidth="1"/>
    <col min="11015" max="11015" width="11.75" style="264" bestFit="1" customWidth="1"/>
    <col min="11016" max="11016" width="10.25" style="264" bestFit="1" customWidth="1"/>
    <col min="11017" max="11017" width="14.125" style="264" bestFit="1" customWidth="1"/>
    <col min="11018" max="11258" width="9.125" style="264"/>
    <col min="11259" max="11259" width="9.125" style="264" customWidth="1"/>
    <col min="11260" max="11260" width="46" style="264" customWidth="1"/>
    <col min="11261" max="11261" width="15" style="264" customWidth="1"/>
    <col min="11262" max="11262" width="2.75" style="264" customWidth="1"/>
    <col min="11263" max="11263" width="12.875" style="264" customWidth="1"/>
    <col min="11264" max="11266" width="16.375" style="264" customWidth="1"/>
    <col min="11267" max="11267" width="2.75" style="264" customWidth="1"/>
    <col min="11268" max="11268" width="15.875" style="264" customWidth="1"/>
    <col min="11269" max="11269" width="17.25" style="264" customWidth="1"/>
    <col min="11270" max="11270" width="20.375" style="264" customWidth="1"/>
    <col min="11271" max="11271" width="11.75" style="264" bestFit="1" customWidth="1"/>
    <col min="11272" max="11272" width="10.25" style="264" bestFit="1" customWidth="1"/>
    <col min="11273" max="11273" width="14.125" style="264" bestFit="1" customWidth="1"/>
    <col min="11274" max="11514" width="9.125" style="264"/>
    <col min="11515" max="11515" width="9.125" style="264" customWidth="1"/>
    <col min="11516" max="11516" width="46" style="264" customWidth="1"/>
    <col min="11517" max="11517" width="15" style="264" customWidth="1"/>
    <col min="11518" max="11518" width="2.75" style="264" customWidth="1"/>
    <col min="11519" max="11519" width="12.875" style="264" customWidth="1"/>
    <col min="11520" max="11522" width="16.375" style="264" customWidth="1"/>
    <col min="11523" max="11523" width="2.75" style="264" customWidth="1"/>
    <col min="11524" max="11524" width="15.875" style="264" customWidth="1"/>
    <col min="11525" max="11525" width="17.25" style="264" customWidth="1"/>
    <col min="11526" max="11526" width="20.375" style="264" customWidth="1"/>
    <col min="11527" max="11527" width="11.75" style="264" bestFit="1" customWidth="1"/>
    <col min="11528" max="11528" width="10.25" style="264" bestFit="1" customWidth="1"/>
    <col min="11529" max="11529" width="14.125" style="264" bestFit="1" customWidth="1"/>
    <col min="11530" max="11770" width="9.125" style="264"/>
    <col min="11771" max="11771" width="9.125" style="264" customWidth="1"/>
    <col min="11772" max="11772" width="46" style="264" customWidth="1"/>
    <col min="11773" max="11773" width="15" style="264" customWidth="1"/>
    <col min="11774" max="11774" width="2.75" style="264" customWidth="1"/>
    <col min="11775" max="11775" width="12.875" style="264" customWidth="1"/>
    <col min="11776" max="11778" width="16.375" style="264" customWidth="1"/>
    <col min="11779" max="11779" width="2.75" style="264" customWidth="1"/>
    <col min="11780" max="11780" width="15.875" style="264" customWidth="1"/>
    <col min="11781" max="11781" width="17.25" style="264" customWidth="1"/>
    <col min="11782" max="11782" width="20.375" style="264" customWidth="1"/>
    <col min="11783" max="11783" width="11.75" style="264" bestFit="1" customWidth="1"/>
    <col min="11784" max="11784" width="10.25" style="264" bestFit="1" customWidth="1"/>
    <col min="11785" max="11785" width="14.125" style="264" bestFit="1" customWidth="1"/>
    <col min="11786" max="12026" width="9.125" style="264"/>
    <col min="12027" max="12027" width="9.125" style="264" customWidth="1"/>
    <col min="12028" max="12028" width="46" style="264" customWidth="1"/>
    <col min="12029" max="12029" width="15" style="264" customWidth="1"/>
    <col min="12030" max="12030" width="2.75" style="264" customWidth="1"/>
    <col min="12031" max="12031" width="12.875" style="264" customWidth="1"/>
    <col min="12032" max="12034" width="16.375" style="264" customWidth="1"/>
    <col min="12035" max="12035" width="2.75" style="264" customWidth="1"/>
    <col min="12036" max="12036" width="15.875" style="264" customWidth="1"/>
    <col min="12037" max="12037" width="17.25" style="264" customWidth="1"/>
    <col min="12038" max="12038" width="20.375" style="264" customWidth="1"/>
    <col min="12039" max="12039" width="11.75" style="264" bestFit="1" customWidth="1"/>
    <col min="12040" max="12040" width="10.25" style="264" bestFit="1" customWidth="1"/>
    <col min="12041" max="12041" width="14.125" style="264" bestFit="1" customWidth="1"/>
    <col min="12042" max="12282" width="9.125" style="264"/>
    <col min="12283" max="12283" width="9.125" style="264" customWidth="1"/>
    <col min="12284" max="12284" width="46" style="264" customWidth="1"/>
    <col min="12285" max="12285" width="15" style="264" customWidth="1"/>
    <col min="12286" max="12286" width="2.75" style="264" customWidth="1"/>
    <col min="12287" max="12287" width="12.875" style="264" customWidth="1"/>
    <col min="12288" max="12290" width="16.375" style="264" customWidth="1"/>
    <col min="12291" max="12291" width="2.75" style="264" customWidth="1"/>
    <col min="12292" max="12292" width="15.875" style="264" customWidth="1"/>
    <col min="12293" max="12293" width="17.25" style="264" customWidth="1"/>
    <col min="12294" max="12294" width="20.375" style="264" customWidth="1"/>
    <col min="12295" max="12295" width="11.75" style="264" bestFit="1" customWidth="1"/>
    <col min="12296" max="12296" width="10.25" style="264" bestFit="1" customWidth="1"/>
    <col min="12297" max="12297" width="14.125" style="264" bestFit="1" customWidth="1"/>
    <col min="12298" max="12538" width="9.125" style="264"/>
    <col min="12539" max="12539" width="9.125" style="264" customWidth="1"/>
    <col min="12540" max="12540" width="46" style="264" customWidth="1"/>
    <col min="12541" max="12541" width="15" style="264" customWidth="1"/>
    <col min="12542" max="12542" width="2.75" style="264" customWidth="1"/>
    <col min="12543" max="12543" width="12.875" style="264" customWidth="1"/>
    <col min="12544" max="12546" width="16.375" style="264" customWidth="1"/>
    <col min="12547" max="12547" width="2.75" style="264" customWidth="1"/>
    <col min="12548" max="12548" width="15.875" style="264" customWidth="1"/>
    <col min="12549" max="12549" width="17.25" style="264" customWidth="1"/>
    <col min="12550" max="12550" width="20.375" style="264" customWidth="1"/>
    <col min="12551" max="12551" width="11.75" style="264" bestFit="1" customWidth="1"/>
    <col min="12552" max="12552" width="10.25" style="264" bestFit="1" customWidth="1"/>
    <col min="12553" max="12553" width="14.125" style="264" bestFit="1" customWidth="1"/>
    <col min="12554" max="12794" width="9.125" style="264"/>
    <col min="12795" max="12795" width="9.125" style="264" customWidth="1"/>
    <col min="12796" max="12796" width="46" style="264" customWidth="1"/>
    <col min="12797" max="12797" width="15" style="264" customWidth="1"/>
    <col min="12798" max="12798" width="2.75" style="264" customWidth="1"/>
    <col min="12799" max="12799" width="12.875" style="264" customWidth="1"/>
    <col min="12800" max="12802" width="16.375" style="264" customWidth="1"/>
    <col min="12803" max="12803" width="2.75" style="264" customWidth="1"/>
    <col min="12804" max="12804" width="15.875" style="264" customWidth="1"/>
    <col min="12805" max="12805" width="17.25" style="264" customWidth="1"/>
    <col min="12806" max="12806" width="20.375" style="264" customWidth="1"/>
    <col min="12807" max="12807" width="11.75" style="264" bestFit="1" customWidth="1"/>
    <col min="12808" max="12808" width="10.25" style="264" bestFit="1" customWidth="1"/>
    <col min="12809" max="12809" width="14.125" style="264" bestFit="1" customWidth="1"/>
    <col min="12810" max="13050" width="9.125" style="264"/>
    <col min="13051" max="13051" width="9.125" style="264" customWidth="1"/>
    <col min="13052" max="13052" width="46" style="264" customWidth="1"/>
    <col min="13053" max="13053" width="15" style="264" customWidth="1"/>
    <col min="13054" max="13054" width="2.75" style="264" customWidth="1"/>
    <col min="13055" max="13055" width="12.875" style="264" customWidth="1"/>
    <col min="13056" max="13058" width="16.375" style="264" customWidth="1"/>
    <col min="13059" max="13059" width="2.75" style="264" customWidth="1"/>
    <col min="13060" max="13060" width="15.875" style="264" customWidth="1"/>
    <col min="13061" max="13061" width="17.25" style="264" customWidth="1"/>
    <col min="13062" max="13062" width="20.375" style="264" customWidth="1"/>
    <col min="13063" max="13063" width="11.75" style="264" bestFit="1" customWidth="1"/>
    <col min="13064" max="13064" width="10.25" style="264" bestFit="1" customWidth="1"/>
    <col min="13065" max="13065" width="14.125" style="264" bestFit="1" customWidth="1"/>
    <col min="13066" max="13306" width="9.125" style="264"/>
    <col min="13307" max="13307" width="9.125" style="264" customWidth="1"/>
    <col min="13308" max="13308" width="46" style="264" customWidth="1"/>
    <col min="13309" max="13309" width="15" style="264" customWidth="1"/>
    <col min="13310" max="13310" width="2.75" style="264" customWidth="1"/>
    <col min="13311" max="13311" width="12.875" style="264" customWidth="1"/>
    <col min="13312" max="13314" width="16.375" style="264" customWidth="1"/>
    <col min="13315" max="13315" width="2.75" style="264" customWidth="1"/>
    <col min="13316" max="13316" width="15.875" style="264" customWidth="1"/>
    <col min="13317" max="13317" width="17.25" style="264" customWidth="1"/>
    <col min="13318" max="13318" width="20.375" style="264" customWidth="1"/>
    <col min="13319" max="13319" width="11.75" style="264" bestFit="1" customWidth="1"/>
    <col min="13320" max="13320" width="10.25" style="264" bestFit="1" customWidth="1"/>
    <col min="13321" max="13321" width="14.125" style="264" bestFit="1" customWidth="1"/>
    <col min="13322" max="13562" width="9.125" style="264"/>
    <col min="13563" max="13563" width="9.125" style="264" customWidth="1"/>
    <col min="13564" max="13564" width="46" style="264" customWidth="1"/>
    <col min="13565" max="13565" width="15" style="264" customWidth="1"/>
    <col min="13566" max="13566" width="2.75" style="264" customWidth="1"/>
    <col min="13567" max="13567" width="12.875" style="264" customWidth="1"/>
    <col min="13568" max="13570" width="16.375" style="264" customWidth="1"/>
    <col min="13571" max="13571" width="2.75" style="264" customWidth="1"/>
    <col min="13572" max="13572" width="15.875" style="264" customWidth="1"/>
    <col min="13573" max="13573" width="17.25" style="264" customWidth="1"/>
    <col min="13574" max="13574" width="20.375" style="264" customWidth="1"/>
    <col min="13575" max="13575" width="11.75" style="264" bestFit="1" customWidth="1"/>
    <col min="13576" max="13576" width="10.25" style="264" bestFit="1" customWidth="1"/>
    <col min="13577" max="13577" width="14.125" style="264" bestFit="1" customWidth="1"/>
    <col min="13578" max="13818" width="9.125" style="264"/>
    <col min="13819" max="13819" width="9.125" style="264" customWidth="1"/>
    <col min="13820" max="13820" width="46" style="264" customWidth="1"/>
    <col min="13821" max="13821" width="15" style="264" customWidth="1"/>
    <col min="13822" max="13822" width="2.75" style="264" customWidth="1"/>
    <col min="13823" max="13823" width="12.875" style="264" customWidth="1"/>
    <col min="13824" max="13826" width="16.375" style="264" customWidth="1"/>
    <col min="13827" max="13827" width="2.75" style="264" customWidth="1"/>
    <col min="13828" max="13828" width="15.875" style="264" customWidth="1"/>
    <col min="13829" max="13829" width="17.25" style="264" customWidth="1"/>
    <col min="13830" max="13830" width="20.375" style="264" customWidth="1"/>
    <col min="13831" max="13831" width="11.75" style="264" bestFit="1" customWidth="1"/>
    <col min="13832" max="13832" width="10.25" style="264" bestFit="1" customWidth="1"/>
    <col min="13833" max="13833" width="14.125" style="264" bestFit="1" customWidth="1"/>
    <col min="13834" max="14074" width="9.125" style="264"/>
    <col min="14075" max="14075" width="9.125" style="264" customWidth="1"/>
    <col min="14076" max="14076" width="46" style="264" customWidth="1"/>
    <col min="14077" max="14077" width="15" style="264" customWidth="1"/>
    <col min="14078" max="14078" width="2.75" style="264" customWidth="1"/>
    <col min="14079" max="14079" width="12.875" style="264" customWidth="1"/>
    <col min="14080" max="14082" width="16.375" style="264" customWidth="1"/>
    <col min="14083" max="14083" width="2.75" style="264" customWidth="1"/>
    <col min="14084" max="14084" width="15.875" style="264" customWidth="1"/>
    <col min="14085" max="14085" width="17.25" style="264" customWidth="1"/>
    <col min="14086" max="14086" width="20.375" style="264" customWidth="1"/>
    <col min="14087" max="14087" width="11.75" style="264" bestFit="1" customWidth="1"/>
    <col min="14088" max="14088" width="10.25" style="264" bestFit="1" customWidth="1"/>
    <col min="14089" max="14089" width="14.125" style="264" bestFit="1" customWidth="1"/>
    <col min="14090" max="14330" width="9.125" style="264"/>
    <col min="14331" max="14331" width="9.125" style="264" customWidth="1"/>
    <col min="14332" max="14332" width="46" style="264" customWidth="1"/>
    <col min="14333" max="14333" width="15" style="264" customWidth="1"/>
    <col min="14334" max="14334" width="2.75" style="264" customWidth="1"/>
    <col min="14335" max="14335" width="12.875" style="264" customWidth="1"/>
    <col min="14336" max="14338" width="16.375" style="264" customWidth="1"/>
    <col min="14339" max="14339" width="2.75" style="264" customWidth="1"/>
    <col min="14340" max="14340" width="15.875" style="264" customWidth="1"/>
    <col min="14341" max="14341" width="17.25" style="264" customWidth="1"/>
    <col min="14342" max="14342" width="20.375" style="264" customWidth="1"/>
    <col min="14343" max="14343" width="11.75" style="264" bestFit="1" customWidth="1"/>
    <col min="14344" max="14344" width="10.25" style="264" bestFit="1" customWidth="1"/>
    <col min="14345" max="14345" width="14.125" style="264" bestFit="1" customWidth="1"/>
    <col min="14346" max="14586" width="9.125" style="264"/>
    <col min="14587" max="14587" width="9.125" style="264" customWidth="1"/>
    <col min="14588" max="14588" width="46" style="264" customWidth="1"/>
    <col min="14589" max="14589" width="15" style="264" customWidth="1"/>
    <col min="14590" max="14590" width="2.75" style="264" customWidth="1"/>
    <col min="14591" max="14591" width="12.875" style="264" customWidth="1"/>
    <col min="14592" max="14594" width="16.375" style="264" customWidth="1"/>
    <col min="14595" max="14595" width="2.75" style="264" customWidth="1"/>
    <col min="14596" max="14596" width="15.875" style="264" customWidth="1"/>
    <col min="14597" max="14597" width="17.25" style="264" customWidth="1"/>
    <col min="14598" max="14598" width="20.375" style="264" customWidth="1"/>
    <col min="14599" max="14599" width="11.75" style="264" bestFit="1" customWidth="1"/>
    <col min="14600" max="14600" width="10.25" style="264" bestFit="1" customWidth="1"/>
    <col min="14601" max="14601" width="14.125" style="264" bestFit="1" customWidth="1"/>
    <col min="14602" max="14842" width="9.125" style="264"/>
    <col min="14843" max="14843" width="9.125" style="264" customWidth="1"/>
    <col min="14844" max="14844" width="46" style="264" customWidth="1"/>
    <col min="14845" max="14845" width="15" style="264" customWidth="1"/>
    <col min="14846" max="14846" width="2.75" style="264" customWidth="1"/>
    <col min="14847" max="14847" width="12.875" style="264" customWidth="1"/>
    <col min="14848" max="14850" width="16.375" style="264" customWidth="1"/>
    <col min="14851" max="14851" width="2.75" style="264" customWidth="1"/>
    <col min="14852" max="14852" width="15.875" style="264" customWidth="1"/>
    <col min="14853" max="14853" width="17.25" style="264" customWidth="1"/>
    <col min="14854" max="14854" width="20.375" style="264" customWidth="1"/>
    <col min="14855" max="14855" width="11.75" style="264" bestFit="1" customWidth="1"/>
    <col min="14856" max="14856" width="10.25" style="264" bestFit="1" customWidth="1"/>
    <col min="14857" max="14857" width="14.125" style="264" bestFit="1" customWidth="1"/>
    <col min="14858" max="15098" width="9.125" style="264"/>
    <col min="15099" max="15099" width="9.125" style="264" customWidth="1"/>
    <col min="15100" max="15100" width="46" style="264" customWidth="1"/>
    <col min="15101" max="15101" width="15" style="264" customWidth="1"/>
    <col min="15102" max="15102" width="2.75" style="264" customWidth="1"/>
    <col min="15103" max="15103" width="12.875" style="264" customWidth="1"/>
    <col min="15104" max="15106" width="16.375" style="264" customWidth="1"/>
    <col min="15107" max="15107" width="2.75" style="264" customWidth="1"/>
    <col min="15108" max="15108" width="15.875" style="264" customWidth="1"/>
    <col min="15109" max="15109" width="17.25" style="264" customWidth="1"/>
    <col min="15110" max="15110" width="20.375" style="264" customWidth="1"/>
    <col min="15111" max="15111" width="11.75" style="264" bestFit="1" customWidth="1"/>
    <col min="15112" max="15112" width="10.25" style="264" bestFit="1" customWidth="1"/>
    <col min="15113" max="15113" width="14.125" style="264" bestFit="1" customWidth="1"/>
    <col min="15114" max="15354" width="9.125" style="264"/>
    <col min="15355" max="15355" width="9.125" style="264" customWidth="1"/>
    <col min="15356" max="15356" width="46" style="264" customWidth="1"/>
    <col min="15357" max="15357" width="15" style="264" customWidth="1"/>
    <col min="15358" max="15358" width="2.75" style="264" customWidth="1"/>
    <col min="15359" max="15359" width="12.875" style="264" customWidth="1"/>
    <col min="15360" max="15362" width="16.375" style="264" customWidth="1"/>
    <col min="15363" max="15363" width="2.75" style="264" customWidth="1"/>
    <col min="15364" max="15364" width="15.875" style="264" customWidth="1"/>
    <col min="15365" max="15365" width="17.25" style="264" customWidth="1"/>
    <col min="15366" max="15366" width="20.375" style="264" customWidth="1"/>
    <col min="15367" max="15367" width="11.75" style="264" bestFit="1" customWidth="1"/>
    <col min="15368" max="15368" width="10.25" style="264" bestFit="1" customWidth="1"/>
    <col min="15369" max="15369" width="14.125" style="264" bestFit="1" customWidth="1"/>
    <col min="15370" max="15610" width="9.125" style="264"/>
    <col min="15611" max="15611" width="9.125" style="264" customWidth="1"/>
    <col min="15612" max="15612" width="46" style="264" customWidth="1"/>
    <col min="15613" max="15613" width="15" style="264" customWidth="1"/>
    <col min="15614" max="15614" width="2.75" style="264" customWidth="1"/>
    <col min="15615" max="15615" width="12.875" style="264" customWidth="1"/>
    <col min="15616" max="15618" width="16.375" style="264" customWidth="1"/>
    <col min="15619" max="15619" width="2.75" style="264" customWidth="1"/>
    <col min="15620" max="15620" width="15.875" style="264" customWidth="1"/>
    <col min="15621" max="15621" width="17.25" style="264" customWidth="1"/>
    <col min="15622" max="15622" width="20.375" style="264" customWidth="1"/>
    <col min="15623" max="15623" width="11.75" style="264" bestFit="1" customWidth="1"/>
    <col min="15624" max="15624" width="10.25" style="264" bestFit="1" customWidth="1"/>
    <col min="15625" max="15625" width="14.125" style="264" bestFit="1" customWidth="1"/>
    <col min="15626" max="15866" width="9.125" style="264"/>
    <col min="15867" max="15867" width="9.125" style="264" customWidth="1"/>
    <col min="15868" max="15868" width="46" style="264" customWidth="1"/>
    <col min="15869" max="15869" width="15" style="264" customWidth="1"/>
    <col min="15870" max="15870" width="2.75" style="264" customWidth="1"/>
    <col min="15871" max="15871" width="12.875" style="264" customWidth="1"/>
    <col min="15872" max="15874" width="16.375" style="264" customWidth="1"/>
    <col min="15875" max="15875" width="2.75" style="264" customWidth="1"/>
    <col min="15876" max="15876" width="15.875" style="264" customWidth="1"/>
    <col min="15877" max="15877" width="17.25" style="264" customWidth="1"/>
    <col min="15878" max="15878" width="20.375" style="264" customWidth="1"/>
    <col min="15879" max="15879" width="11.75" style="264" bestFit="1" customWidth="1"/>
    <col min="15880" max="15880" width="10.25" style="264" bestFit="1" customWidth="1"/>
    <col min="15881" max="15881" width="14.125" style="264" bestFit="1" customWidth="1"/>
    <col min="15882" max="16122" width="9.125" style="264"/>
    <col min="16123" max="16123" width="9.125" style="264" customWidth="1"/>
    <col min="16124" max="16124" width="46" style="264" customWidth="1"/>
    <col min="16125" max="16125" width="15" style="264" customWidth="1"/>
    <col min="16126" max="16126" width="2.75" style="264" customWidth="1"/>
    <col min="16127" max="16127" width="12.875" style="264" customWidth="1"/>
    <col min="16128" max="16130" width="16.375" style="264" customWidth="1"/>
    <col min="16131" max="16131" width="2.75" style="264" customWidth="1"/>
    <col min="16132" max="16132" width="15.875" style="264" customWidth="1"/>
    <col min="16133" max="16133" width="17.25" style="264" customWidth="1"/>
    <col min="16134" max="16134" width="20.375" style="264" customWidth="1"/>
    <col min="16135" max="16135" width="11.75" style="264" bestFit="1" customWidth="1"/>
    <col min="16136" max="16136" width="10.25" style="264" bestFit="1" customWidth="1"/>
    <col min="16137" max="16137" width="14.125" style="264" bestFit="1" customWidth="1"/>
    <col min="16138" max="16384" width="9.125" style="264"/>
  </cols>
  <sheetData>
    <row r="1" spans="1:12" hidden="1" x14ac:dyDescent="0.2">
      <c r="A1" s="262" t="s">
        <v>23</v>
      </c>
      <c r="B1" s="263"/>
    </row>
    <row r="2" spans="1:12" ht="15.75" hidden="1" x14ac:dyDescent="0.25">
      <c r="A2" s="266" t="s">
        <v>24</v>
      </c>
      <c r="B2" s="267"/>
      <c r="C2" s="266" t="s">
        <v>25</v>
      </c>
    </row>
    <row r="3" spans="1:12" hidden="1" x14ac:dyDescent="0.2">
      <c r="A3" s="264" t="s">
        <v>26</v>
      </c>
      <c r="B3" s="263"/>
    </row>
    <row r="4" spans="1:12" hidden="1" x14ac:dyDescent="0.2">
      <c r="B4" s="263"/>
      <c r="C4" s="268"/>
      <c r="D4" s="268"/>
    </row>
    <row r="5" spans="1:12" hidden="1" x14ac:dyDescent="0.2">
      <c r="B5" s="263"/>
      <c r="C5" s="269"/>
      <c r="D5" s="269"/>
    </row>
    <row r="6" spans="1:12" ht="15.75" hidden="1" x14ac:dyDescent="0.25">
      <c r="A6" s="264" t="s">
        <v>27</v>
      </c>
      <c r="B6" s="263"/>
      <c r="C6" s="270">
        <v>28272</v>
      </c>
      <c r="D6" s="268"/>
      <c r="E6" s="271"/>
    </row>
    <row r="7" spans="1:12" ht="15.75" hidden="1" x14ac:dyDescent="0.25">
      <c r="A7" s="264" t="s">
        <v>28</v>
      </c>
      <c r="B7" s="263"/>
      <c r="C7" s="270">
        <f>C6*0.06</f>
        <v>1696.32</v>
      </c>
      <c r="D7" s="268"/>
      <c r="E7" s="271"/>
    </row>
    <row r="8" spans="1:12" ht="15.75" hidden="1" x14ac:dyDescent="0.25">
      <c r="A8" s="264" t="s">
        <v>29</v>
      </c>
      <c r="B8" s="263"/>
      <c r="C8" s="270">
        <f>C6/3*0.2</f>
        <v>1884.8000000000002</v>
      </c>
      <c r="D8" s="270"/>
      <c r="E8" s="271"/>
    </row>
    <row r="9" spans="1:12" ht="15.75" hidden="1" x14ac:dyDescent="0.25">
      <c r="B9" s="263" t="s">
        <v>30</v>
      </c>
      <c r="C9" s="270"/>
      <c r="D9" s="268"/>
      <c r="E9" s="271"/>
    </row>
    <row r="10" spans="1:12" hidden="1" x14ac:dyDescent="0.2">
      <c r="B10" s="263"/>
    </row>
    <row r="11" spans="1:12" hidden="1" x14ac:dyDescent="0.2">
      <c r="A11" s="271" t="s">
        <v>31</v>
      </c>
      <c r="B11" s="272"/>
      <c r="D11" s="273"/>
      <c r="F11" s="273">
        <v>53950</v>
      </c>
      <c r="G11" s="273"/>
      <c r="I11" s="265"/>
    </row>
    <row r="12" spans="1:12" hidden="1" x14ac:dyDescent="0.2">
      <c r="A12" s="271" t="s">
        <v>32</v>
      </c>
      <c r="B12" s="272"/>
      <c r="D12" s="273"/>
      <c r="F12" s="273">
        <v>59350</v>
      </c>
      <c r="G12" s="273"/>
      <c r="I12" s="265"/>
    </row>
    <row r="13" spans="1:12" hidden="1" x14ac:dyDescent="0.2">
      <c r="A13" s="271" t="s">
        <v>33</v>
      </c>
      <c r="B13" s="272"/>
      <c r="D13" s="273"/>
      <c r="F13" s="273">
        <v>36150</v>
      </c>
      <c r="G13" s="273"/>
      <c r="I13" s="265"/>
    </row>
    <row r="14" spans="1:12" hidden="1" x14ac:dyDescent="0.2">
      <c r="A14" s="271"/>
      <c r="B14" s="272"/>
      <c r="C14" s="274"/>
      <c r="D14" s="274"/>
      <c r="I14" s="265"/>
    </row>
    <row r="15" spans="1:12" ht="15.75" hidden="1" x14ac:dyDescent="0.25">
      <c r="B15" s="263"/>
      <c r="J15" s="275" t="s">
        <v>34</v>
      </c>
      <c r="K15" s="419" t="s">
        <v>35</v>
      </c>
      <c r="L15" s="421"/>
    </row>
    <row r="16" spans="1:12" ht="31.5" hidden="1" x14ac:dyDescent="0.25">
      <c r="A16" s="266" t="s">
        <v>36</v>
      </c>
      <c r="B16" s="276"/>
      <c r="C16" s="277" t="s">
        <v>37</v>
      </c>
      <c r="D16" s="278"/>
      <c r="E16" s="275" t="s">
        <v>38</v>
      </c>
      <c r="F16" s="275" t="s">
        <v>39</v>
      </c>
      <c r="G16" s="275" t="s">
        <v>40</v>
      </c>
      <c r="H16" s="279" t="s">
        <v>0</v>
      </c>
      <c r="I16" s="280"/>
      <c r="J16" s="277" t="s">
        <v>41</v>
      </c>
      <c r="K16" s="281" t="s">
        <v>42</v>
      </c>
      <c r="L16" s="275" t="s">
        <v>43</v>
      </c>
    </row>
    <row r="17" spans="1:12" ht="15.75" hidden="1" x14ac:dyDescent="0.25">
      <c r="A17" s="282"/>
      <c r="B17" s="276"/>
      <c r="C17" s="283"/>
      <c r="D17" s="278"/>
      <c r="E17" s="284"/>
      <c r="F17" s="285"/>
      <c r="G17" s="285"/>
      <c r="H17" s="286"/>
      <c r="I17" s="280"/>
      <c r="J17" s="287"/>
      <c r="K17" s="288"/>
      <c r="L17" s="289"/>
    </row>
    <row r="18" spans="1:12" hidden="1" x14ac:dyDescent="0.2">
      <c r="A18" s="264">
        <v>1</v>
      </c>
      <c r="B18" s="263" t="s">
        <v>44</v>
      </c>
      <c r="C18" s="290">
        <v>50000</v>
      </c>
      <c r="D18" s="265"/>
      <c r="E18" s="291"/>
      <c r="F18" s="292"/>
      <c r="G18" s="292">
        <f>+C18*18</f>
        <v>900000</v>
      </c>
      <c r="H18" s="293">
        <f>SUM(F18+G18)</f>
        <v>900000</v>
      </c>
      <c r="I18" s="265"/>
      <c r="J18" s="294">
        <f>+H18</f>
        <v>900000</v>
      </c>
      <c r="K18" s="292"/>
      <c r="L18" s="293"/>
    </row>
    <row r="19" spans="1:12" hidden="1" x14ac:dyDescent="0.2">
      <c r="B19" s="263"/>
      <c r="C19" s="290"/>
      <c r="D19" s="265"/>
      <c r="E19" s="291"/>
      <c r="F19" s="292"/>
      <c r="G19" s="292"/>
      <c r="H19" s="293"/>
      <c r="I19" s="265"/>
      <c r="J19" s="294"/>
      <c r="K19" s="292"/>
      <c r="L19" s="293"/>
    </row>
    <row r="20" spans="1:12" hidden="1" x14ac:dyDescent="0.2">
      <c r="A20" s="264">
        <v>2</v>
      </c>
      <c r="B20" s="263" t="s">
        <v>45</v>
      </c>
      <c r="C20" s="290">
        <v>77000</v>
      </c>
      <c r="D20" s="265"/>
      <c r="E20" s="291">
        <v>18</v>
      </c>
      <c r="F20" s="292">
        <f>+C20*E20</f>
        <v>1386000</v>
      </c>
      <c r="G20" s="292"/>
      <c r="H20" s="293">
        <f>SUM(F20+G20)</f>
        <v>1386000</v>
      </c>
      <c r="I20" s="265"/>
      <c r="J20" s="294">
        <f>+H20</f>
        <v>1386000</v>
      </c>
      <c r="K20" s="292"/>
      <c r="L20" s="293"/>
    </row>
    <row r="21" spans="1:12" hidden="1" x14ac:dyDescent="0.2">
      <c r="B21" s="263"/>
      <c r="C21" s="290"/>
      <c r="D21" s="265"/>
      <c r="E21" s="291"/>
      <c r="F21" s="292"/>
      <c r="G21" s="292"/>
      <c r="H21" s="293"/>
      <c r="I21" s="265"/>
      <c r="J21" s="294"/>
      <c r="K21" s="292"/>
      <c r="L21" s="293"/>
    </row>
    <row r="22" spans="1:12" hidden="1" x14ac:dyDescent="0.2">
      <c r="A22" s="264">
        <v>3</v>
      </c>
      <c r="B22" s="263" t="s">
        <v>46</v>
      </c>
      <c r="C22" s="290">
        <v>39300</v>
      </c>
      <c r="D22" s="265"/>
      <c r="E22" s="291">
        <v>18</v>
      </c>
      <c r="F22" s="292">
        <f>+C22*E22</f>
        <v>707400</v>
      </c>
      <c r="G22" s="292"/>
      <c r="H22" s="293">
        <f>SUM(F22+G22)</f>
        <v>707400</v>
      </c>
      <c r="I22" s="265"/>
      <c r="J22" s="294">
        <f>+H22</f>
        <v>707400</v>
      </c>
      <c r="K22" s="292"/>
      <c r="L22" s="293"/>
    </row>
    <row r="23" spans="1:12" hidden="1" x14ac:dyDescent="0.2">
      <c r="B23" s="263"/>
      <c r="C23" s="290"/>
      <c r="D23" s="265"/>
      <c r="E23" s="291"/>
      <c r="F23" s="292"/>
      <c r="G23" s="292"/>
      <c r="H23" s="293"/>
      <c r="I23" s="265"/>
      <c r="J23" s="294"/>
      <c r="K23" s="292"/>
      <c r="L23" s="293"/>
    </row>
    <row r="24" spans="1:12" hidden="1" x14ac:dyDescent="0.2">
      <c r="A24" s="264">
        <v>4</v>
      </c>
      <c r="B24" s="263" t="s">
        <v>47</v>
      </c>
      <c r="C24" s="290">
        <v>36000</v>
      </c>
      <c r="D24" s="265"/>
      <c r="E24" s="291">
        <v>18</v>
      </c>
      <c r="F24" s="292">
        <f>+C24*E24</f>
        <v>648000</v>
      </c>
      <c r="G24" s="292"/>
      <c r="H24" s="293">
        <f>SUM(F24+G24)</f>
        <v>648000</v>
      </c>
      <c r="I24" s="265"/>
      <c r="J24" s="294">
        <f>+H24</f>
        <v>648000</v>
      </c>
      <c r="K24" s="292"/>
      <c r="L24" s="293"/>
    </row>
    <row r="25" spans="1:12" hidden="1" x14ac:dyDescent="0.2">
      <c r="B25" s="263"/>
      <c r="C25" s="290"/>
      <c r="D25" s="265"/>
      <c r="E25" s="291"/>
      <c r="F25" s="292"/>
      <c r="G25" s="292"/>
      <c r="H25" s="293"/>
      <c r="I25" s="265"/>
      <c r="J25" s="294"/>
      <c r="K25" s="292"/>
      <c r="L25" s="293"/>
    </row>
    <row r="26" spans="1:12" hidden="1" x14ac:dyDescent="0.2">
      <c r="A26" s="264">
        <v>5</v>
      </c>
      <c r="B26" s="263" t="s">
        <v>48</v>
      </c>
      <c r="C26" s="290">
        <v>51000</v>
      </c>
      <c r="D26" s="265"/>
      <c r="E26" s="291">
        <v>18</v>
      </c>
      <c r="F26" s="292">
        <f>+C26*E26</f>
        <v>918000</v>
      </c>
      <c r="G26" s="292"/>
      <c r="H26" s="293">
        <f>SUM(F26+G26)</f>
        <v>918000</v>
      </c>
      <c r="I26" s="265"/>
      <c r="J26" s="294">
        <f>+H26</f>
        <v>918000</v>
      </c>
      <c r="K26" s="292"/>
      <c r="L26" s="293"/>
    </row>
    <row r="27" spans="1:12" hidden="1" x14ac:dyDescent="0.2">
      <c r="B27" s="263"/>
      <c r="C27" s="290"/>
      <c r="D27" s="265"/>
      <c r="E27" s="291"/>
      <c r="F27" s="292"/>
      <c r="G27" s="292"/>
      <c r="H27" s="293"/>
      <c r="I27" s="265"/>
      <c r="J27" s="294"/>
      <c r="K27" s="292"/>
      <c r="L27" s="293"/>
    </row>
    <row r="28" spans="1:12" hidden="1" x14ac:dyDescent="0.2">
      <c r="A28" s="264">
        <v>6</v>
      </c>
      <c r="B28" s="263" t="s">
        <v>49</v>
      </c>
      <c r="C28" s="295">
        <v>0</v>
      </c>
      <c r="D28" s="265"/>
      <c r="E28" s="291"/>
      <c r="F28" s="292"/>
      <c r="G28" s="296">
        <v>0</v>
      </c>
      <c r="H28" s="297">
        <v>0</v>
      </c>
      <c r="I28" s="265"/>
      <c r="J28" s="298">
        <f>+H28</f>
        <v>0</v>
      </c>
      <c r="K28" s="296">
        <v>0</v>
      </c>
      <c r="L28" s="297">
        <v>0</v>
      </c>
    </row>
    <row r="29" spans="1:12" hidden="1" x14ac:dyDescent="0.2">
      <c r="B29" s="263"/>
      <c r="C29" s="290"/>
      <c r="D29" s="265"/>
      <c r="E29" s="291"/>
      <c r="F29" s="292"/>
      <c r="G29" s="292"/>
      <c r="H29" s="293"/>
      <c r="I29" s="265"/>
      <c r="J29" s="294"/>
      <c r="K29" s="292"/>
      <c r="L29" s="293"/>
    </row>
    <row r="30" spans="1:12" hidden="1" x14ac:dyDescent="0.2">
      <c r="A30" s="264">
        <v>7</v>
      </c>
      <c r="B30" s="263" t="s">
        <v>50</v>
      </c>
      <c r="C30" s="290">
        <v>13000</v>
      </c>
      <c r="D30" s="265"/>
      <c r="E30" s="291"/>
      <c r="F30" s="292"/>
      <c r="G30" s="292">
        <f>+C30*18</f>
        <v>234000</v>
      </c>
      <c r="H30" s="293">
        <f>SUM(F30+G30)</f>
        <v>234000</v>
      </c>
      <c r="I30" s="265"/>
      <c r="J30" s="294">
        <f>+H30</f>
        <v>234000</v>
      </c>
      <c r="K30" s="292"/>
      <c r="L30" s="293"/>
    </row>
    <row r="31" spans="1:12" hidden="1" x14ac:dyDescent="0.2">
      <c r="B31" s="263"/>
      <c r="C31" s="290"/>
      <c r="D31" s="265"/>
      <c r="E31" s="291"/>
      <c r="F31" s="292"/>
      <c r="G31" s="292"/>
      <c r="H31" s="293"/>
      <c r="I31" s="265"/>
      <c r="J31" s="294"/>
      <c r="K31" s="292"/>
      <c r="L31" s="293"/>
    </row>
    <row r="32" spans="1:12" hidden="1" x14ac:dyDescent="0.2">
      <c r="A32" s="264">
        <v>8</v>
      </c>
      <c r="B32" s="263" t="s">
        <v>51</v>
      </c>
      <c r="C32" s="290">
        <v>30000</v>
      </c>
      <c r="D32" s="265"/>
      <c r="E32" s="291"/>
      <c r="F32" s="292"/>
      <c r="G32" s="292">
        <f>+C32*18</f>
        <v>540000</v>
      </c>
      <c r="H32" s="293">
        <f>SUM(F32+G32)</f>
        <v>540000</v>
      </c>
      <c r="I32" s="265"/>
      <c r="J32" s="294">
        <f>+H32</f>
        <v>540000</v>
      </c>
      <c r="K32" s="292"/>
      <c r="L32" s="293"/>
    </row>
    <row r="33" spans="1:12" hidden="1" x14ac:dyDescent="0.2">
      <c r="B33" s="263"/>
      <c r="C33" s="290"/>
      <c r="D33" s="265"/>
      <c r="E33" s="291"/>
      <c r="F33" s="292"/>
      <c r="G33" s="292"/>
      <c r="H33" s="293"/>
      <c r="I33" s="265"/>
      <c r="J33" s="294"/>
      <c r="K33" s="292"/>
      <c r="L33" s="293"/>
    </row>
    <row r="34" spans="1:12" hidden="1" x14ac:dyDescent="0.2">
      <c r="A34" s="264">
        <v>9</v>
      </c>
      <c r="B34" s="263" t="s">
        <v>52</v>
      </c>
      <c r="C34" s="290">
        <v>41000</v>
      </c>
      <c r="D34" s="265"/>
      <c r="E34" s="291"/>
      <c r="F34" s="292"/>
      <c r="G34" s="292">
        <f>+C34*18</f>
        <v>738000</v>
      </c>
      <c r="H34" s="293">
        <f>SUM(F34+G34)</f>
        <v>738000</v>
      </c>
      <c r="I34" s="265"/>
      <c r="J34" s="294">
        <f>+H34</f>
        <v>738000</v>
      </c>
      <c r="K34" s="292"/>
      <c r="L34" s="293"/>
    </row>
    <row r="35" spans="1:12" hidden="1" x14ac:dyDescent="0.2">
      <c r="B35" s="263"/>
      <c r="C35" s="290"/>
      <c r="D35" s="265"/>
      <c r="E35" s="291"/>
      <c r="F35" s="292"/>
      <c r="G35" s="292"/>
      <c r="H35" s="293"/>
      <c r="I35" s="265"/>
      <c r="J35" s="294"/>
      <c r="K35" s="292"/>
      <c r="L35" s="293"/>
    </row>
    <row r="36" spans="1:12" hidden="1" x14ac:dyDescent="0.2">
      <c r="A36" s="264">
        <v>10</v>
      </c>
      <c r="B36" s="263" t="s">
        <v>53</v>
      </c>
      <c r="C36" s="290"/>
      <c r="D36" s="265"/>
      <c r="E36" s="291"/>
      <c r="F36" s="292"/>
      <c r="G36" s="292">
        <f>ROUND((F20+F22+F24+F26+F38+F42+F44+F46+F49+F51+F53+F55)*0.15,0)</f>
        <v>4159347</v>
      </c>
      <c r="H36" s="299">
        <f>SUM(F36+G36)</f>
        <v>4159347</v>
      </c>
      <c r="I36" s="265"/>
      <c r="J36" s="294">
        <f>ROUND((SUM(F20:F26)*0.15),0)</f>
        <v>548910</v>
      </c>
      <c r="K36" s="296">
        <f>ROUND(SUM(F38:F53)*0.15,0)</f>
        <v>2849742</v>
      </c>
      <c r="L36" s="297">
        <f>ROUND(F55*0.15,0)</f>
        <v>760695</v>
      </c>
    </row>
    <row r="37" spans="1:12" hidden="1" x14ac:dyDescent="0.2">
      <c r="B37" s="263"/>
      <c r="C37" s="290"/>
      <c r="D37" s="265"/>
      <c r="E37" s="291"/>
      <c r="F37" s="292"/>
      <c r="G37" s="292"/>
      <c r="H37" s="293"/>
      <c r="I37" s="265"/>
      <c r="J37" s="294"/>
      <c r="K37" s="296"/>
      <c r="L37" s="297"/>
    </row>
    <row r="38" spans="1:12" hidden="1" x14ac:dyDescent="0.2">
      <c r="A38" s="264">
        <v>11</v>
      </c>
      <c r="B38" s="263" t="s">
        <v>54</v>
      </c>
      <c r="C38" s="290"/>
      <c r="D38" s="265"/>
      <c r="E38" s="291"/>
      <c r="F38" s="292">
        <f>(F20+F22+F24+F26+F42+F44+F46+F49+F51+F53+F55)*0.2045</f>
        <v>4707825.6862499993</v>
      </c>
      <c r="G38" s="292"/>
      <c r="H38" s="293">
        <f>(+H20+H22+H24+H26+H42+H44+H46+H49+H51+H53+H55)*0.2045</f>
        <v>4707825.6862499993</v>
      </c>
      <c r="I38" s="265"/>
      <c r="J38" s="294">
        <f>ROUND((SUM(F20:F26)*0.2045),0)</f>
        <v>748347</v>
      </c>
      <c r="K38" s="296">
        <f>ROUND((SUM(F42:F53)*0.2045),0)</f>
        <v>2922398</v>
      </c>
      <c r="L38" s="297">
        <f>ROUND(F55*0.2045,0)</f>
        <v>1037081</v>
      </c>
    </row>
    <row r="39" spans="1:12" hidden="1" x14ac:dyDescent="0.2">
      <c r="B39" s="263"/>
      <c r="C39" s="290"/>
      <c r="D39" s="265"/>
      <c r="E39" s="291"/>
      <c r="F39" s="292"/>
      <c r="G39" s="292"/>
      <c r="H39" s="293"/>
      <c r="I39" s="265"/>
      <c r="J39" s="294"/>
      <c r="K39" s="296"/>
      <c r="L39" s="297"/>
    </row>
    <row r="40" spans="1:12" hidden="1" x14ac:dyDescent="0.2">
      <c r="A40" s="264">
        <v>12</v>
      </c>
      <c r="B40" s="263" t="s">
        <v>55</v>
      </c>
      <c r="C40" s="290">
        <v>2000</v>
      </c>
      <c r="D40" s="265"/>
      <c r="E40" s="291"/>
      <c r="F40" s="292"/>
      <c r="G40" s="292">
        <f>E61*2000</f>
        <v>856000</v>
      </c>
      <c r="H40" s="293">
        <f>SUM(F40:G40)</f>
        <v>856000</v>
      </c>
      <c r="I40" s="265"/>
      <c r="J40" s="294">
        <f>(E20+E22+E24+E26)*2000</f>
        <v>144000</v>
      </c>
      <c r="K40" s="296">
        <f>ROUND(SUM(E44:E53)*2000,0)</f>
        <v>524000</v>
      </c>
      <c r="L40" s="297">
        <f>ROUND(E55*2000,0)</f>
        <v>188000</v>
      </c>
    </row>
    <row r="41" spans="1:12" hidden="1" x14ac:dyDescent="0.2">
      <c r="B41" s="263"/>
      <c r="C41" s="290"/>
      <c r="D41" s="265"/>
      <c r="E41" s="291"/>
      <c r="F41" s="292"/>
      <c r="G41" s="292"/>
      <c r="H41" s="293"/>
      <c r="I41" s="265"/>
      <c r="J41" s="294"/>
      <c r="K41" s="296"/>
      <c r="L41" s="297"/>
    </row>
    <row r="42" spans="1:12" ht="30" hidden="1" x14ac:dyDescent="0.2">
      <c r="A42" s="264">
        <v>13</v>
      </c>
      <c r="B42" s="263" t="s">
        <v>56</v>
      </c>
      <c r="C42" s="290"/>
      <c r="D42" s="265"/>
      <c r="E42" s="291"/>
      <c r="F42" s="292">
        <f>(F49+F53+F55+F44)*0.05</f>
        <v>787952.5</v>
      </c>
      <c r="G42" s="292"/>
      <c r="H42" s="293">
        <f>SUM(F42:G42)</f>
        <v>787952.5</v>
      </c>
      <c r="I42" s="265"/>
      <c r="J42" s="294"/>
      <c r="K42" s="296">
        <f>ROUND((+F44+F49+F53)*0.05,0)</f>
        <v>534388</v>
      </c>
      <c r="L42" s="297">
        <f>ROUND(F55*0.05,0)</f>
        <v>253565</v>
      </c>
    </row>
    <row r="43" spans="1:12" hidden="1" x14ac:dyDescent="0.2">
      <c r="B43" s="263"/>
      <c r="C43" s="290"/>
      <c r="D43" s="265"/>
      <c r="E43" s="291"/>
      <c r="F43" s="292"/>
      <c r="G43" s="292"/>
      <c r="H43" s="293"/>
      <c r="I43" s="265"/>
      <c r="J43" s="294"/>
      <c r="K43" s="292"/>
      <c r="L43" s="293"/>
    </row>
    <row r="44" spans="1:12" hidden="1" x14ac:dyDescent="0.2">
      <c r="A44" s="264">
        <v>14</v>
      </c>
      <c r="B44" s="263" t="s">
        <v>57</v>
      </c>
      <c r="C44" s="290">
        <f>+F12</f>
        <v>59350</v>
      </c>
      <c r="D44" s="265"/>
      <c r="E44" s="291">
        <f>ROUND((E55+E53+E51+E49+E46)/6,0)</f>
        <v>51</v>
      </c>
      <c r="F44" s="292">
        <f>F12*E44</f>
        <v>3026850</v>
      </c>
      <c r="G44" s="292"/>
      <c r="H44" s="293">
        <f>SUM(F44:G44)</f>
        <v>3026850</v>
      </c>
      <c r="I44" s="265"/>
      <c r="J44" s="291"/>
      <c r="K44" s="296">
        <f>ROUND(F44*((+E$49+E$51+E$53)/(E$49+E$51+E$53+E$55)),0)</f>
        <v>1906677</v>
      </c>
      <c r="L44" s="297">
        <f>ROUND((+F44*(E$55/(+E$49+E$51+E$53+E$55))),0)</f>
        <v>1120173</v>
      </c>
    </row>
    <row r="45" spans="1:12" hidden="1" x14ac:dyDescent="0.2">
      <c r="B45" s="263"/>
      <c r="C45" s="290"/>
      <c r="D45" s="265"/>
      <c r="E45" s="291"/>
      <c r="F45" s="292"/>
      <c r="G45" s="292"/>
      <c r="H45" s="293"/>
      <c r="I45" s="265"/>
      <c r="J45" s="294"/>
      <c r="K45" s="292"/>
      <c r="L45" s="293"/>
    </row>
    <row r="46" spans="1:12" hidden="1" x14ac:dyDescent="0.2">
      <c r="A46" s="264">
        <v>15</v>
      </c>
      <c r="B46" s="263" t="s">
        <v>58</v>
      </c>
      <c r="C46" s="290">
        <f>+F13</f>
        <v>36150</v>
      </c>
      <c r="D46" s="265"/>
      <c r="E46" s="291">
        <f>ROUND((E55+E53+E51+E49)/5,0)</f>
        <v>51</v>
      </c>
      <c r="F46" s="292">
        <f>F13*E46</f>
        <v>1843650</v>
      </c>
      <c r="G46" s="292"/>
      <c r="H46" s="293">
        <f>SUM(F46:G46)</f>
        <v>1843650</v>
      </c>
      <c r="I46" s="265"/>
      <c r="J46" s="294"/>
      <c r="K46" s="296">
        <f>ROUND(F46*((+E$49+E$51+E$53)/(E$49+E$51+E$53+E$55)),0)</f>
        <v>1161354</v>
      </c>
      <c r="L46" s="297">
        <f>ROUND((+F46*(E$55/(+E$49+E$51+E$53+E$55))),0)</f>
        <v>682296</v>
      </c>
    </row>
    <row r="47" spans="1:12" hidden="1" x14ac:dyDescent="0.2">
      <c r="B47" s="263"/>
      <c r="C47" s="290"/>
      <c r="D47" s="265"/>
      <c r="E47" s="291"/>
      <c r="F47" s="292"/>
      <c r="G47" s="292"/>
      <c r="H47" s="293"/>
      <c r="I47" s="265"/>
      <c r="J47" s="294"/>
      <c r="K47" s="292"/>
      <c r="L47" s="293"/>
    </row>
    <row r="48" spans="1:12" ht="15.75" hidden="1" x14ac:dyDescent="0.25">
      <c r="A48" s="282" t="s">
        <v>59</v>
      </c>
      <c r="B48" s="263"/>
      <c r="C48" s="290"/>
      <c r="D48" s="265"/>
      <c r="E48" s="291"/>
      <c r="F48" s="292"/>
      <c r="G48" s="292"/>
      <c r="H48" s="293"/>
      <c r="I48" s="265"/>
      <c r="J48" s="294"/>
      <c r="K48" s="292"/>
      <c r="L48" s="293"/>
    </row>
    <row r="49" spans="1:12" hidden="1" x14ac:dyDescent="0.2">
      <c r="A49" s="300">
        <v>16</v>
      </c>
      <c r="B49" s="301" t="s">
        <v>60</v>
      </c>
      <c r="C49" s="302">
        <f>+F11</f>
        <v>53950</v>
      </c>
      <c r="D49" s="303"/>
      <c r="E49" s="304">
        <f>ROUND(C7/30,0)</f>
        <v>57</v>
      </c>
      <c r="F49" s="305">
        <f>F11*E49</f>
        <v>3075150</v>
      </c>
      <c r="G49" s="305"/>
      <c r="H49" s="299">
        <f>SUM(F49:G49)</f>
        <v>3075150</v>
      </c>
      <c r="I49" s="303"/>
      <c r="J49" s="306"/>
      <c r="K49" s="292">
        <f>F11*E49</f>
        <v>3075150</v>
      </c>
      <c r="L49" s="293"/>
    </row>
    <row r="50" spans="1:12" hidden="1" x14ac:dyDescent="0.2">
      <c r="A50" s="301"/>
      <c r="B50" s="301"/>
      <c r="C50" s="290"/>
      <c r="D50" s="265"/>
      <c r="E50" s="291"/>
      <c r="F50" s="292"/>
      <c r="G50" s="292"/>
      <c r="H50" s="293"/>
      <c r="I50" s="265"/>
      <c r="J50" s="294"/>
      <c r="K50" s="292"/>
      <c r="L50" s="293"/>
    </row>
    <row r="51" spans="1:12" ht="30" hidden="1" x14ac:dyDescent="0.2">
      <c r="A51" s="300">
        <v>17</v>
      </c>
      <c r="B51" s="301" t="s">
        <v>61</v>
      </c>
      <c r="C51" s="290">
        <f>+F11</f>
        <v>53950</v>
      </c>
      <c r="D51" s="265"/>
      <c r="E51" s="291">
        <v>18</v>
      </c>
      <c r="F51" s="292">
        <f>F11*E51</f>
        <v>971100</v>
      </c>
      <c r="G51" s="292"/>
      <c r="H51" s="293">
        <f>SUM(F51:G51)</f>
        <v>971100</v>
      </c>
      <c r="I51" s="265"/>
      <c r="J51" s="294" t="s">
        <v>62</v>
      </c>
      <c r="K51" s="292">
        <f>ROUND(E51*F11,0)</f>
        <v>971100</v>
      </c>
      <c r="L51" s="293"/>
    </row>
    <row r="52" spans="1:12" hidden="1" x14ac:dyDescent="0.2">
      <c r="A52" s="301"/>
      <c r="B52" s="301"/>
      <c r="C52" s="290"/>
      <c r="D52" s="265"/>
      <c r="E52" s="291"/>
      <c r="F52" s="292"/>
      <c r="G52" s="292"/>
      <c r="H52" s="293"/>
      <c r="I52" s="265"/>
      <c r="J52" s="294"/>
      <c r="K52" s="292"/>
      <c r="L52" s="293"/>
    </row>
    <row r="53" spans="1:12" hidden="1" x14ac:dyDescent="0.2">
      <c r="A53" s="301">
        <v>18</v>
      </c>
      <c r="B53" s="301" t="s">
        <v>63</v>
      </c>
      <c r="C53" s="290">
        <f>+F11</f>
        <v>53950</v>
      </c>
      <c r="D53" s="265"/>
      <c r="E53" s="291">
        <f>ROUND(C7/20,0)</f>
        <v>85</v>
      </c>
      <c r="F53" s="292">
        <f>F11*E53</f>
        <v>4585750</v>
      </c>
      <c r="G53" s="292"/>
      <c r="H53" s="293">
        <f>SUM(F53:G53)</f>
        <v>4585750</v>
      </c>
      <c r="I53" s="265"/>
      <c r="J53" s="294"/>
      <c r="K53" s="292">
        <f>F11*E53</f>
        <v>4585750</v>
      </c>
      <c r="L53" s="293"/>
    </row>
    <row r="54" spans="1:12" hidden="1" x14ac:dyDescent="0.2">
      <c r="A54" s="301"/>
      <c r="B54" s="301"/>
      <c r="C54" s="290"/>
      <c r="D54" s="265"/>
      <c r="E54" s="291"/>
      <c r="F54" s="292"/>
      <c r="G54" s="292"/>
      <c r="H54" s="293"/>
      <c r="I54" s="265"/>
      <c r="J54" s="294"/>
      <c r="K54" s="292"/>
      <c r="L54" s="293"/>
    </row>
    <row r="55" spans="1:12" hidden="1" x14ac:dyDescent="0.2">
      <c r="A55" s="301">
        <v>19</v>
      </c>
      <c r="B55" s="301" t="s">
        <v>64</v>
      </c>
      <c r="C55" s="290">
        <f>+F11</f>
        <v>53950</v>
      </c>
      <c r="D55" s="265"/>
      <c r="E55" s="291">
        <f>ROUND(C8/20,0)</f>
        <v>94</v>
      </c>
      <c r="F55" s="292">
        <f>F11*E55</f>
        <v>5071300</v>
      </c>
      <c r="G55" s="292"/>
      <c r="H55" s="293">
        <f>SUM(F55:G55)</f>
        <v>5071300</v>
      </c>
      <c r="I55" s="265"/>
      <c r="J55" s="294"/>
      <c r="K55" s="292"/>
      <c r="L55" s="293">
        <f>F11*E55</f>
        <v>5071300</v>
      </c>
    </row>
    <row r="56" spans="1:12" hidden="1" x14ac:dyDescent="0.2">
      <c r="A56" s="301"/>
      <c r="B56" s="301"/>
      <c r="C56" s="290"/>
      <c r="D56" s="265"/>
      <c r="E56" s="291"/>
      <c r="F56" s="292"/>
      <c r="G56" s="292"/>
      <c r="H56" s="293"/>
      <c r="I56" s="265"/>
      <c r="J56" s="294"/>
      <c r="K56" s="292"/>
      <c r="L56" s="293"/>
    </row>
    <row r="57" spans="1:12" hidden="1" x14ac:dyDescent="0.2">
      <c r="A57" s="301">
        <v>20</v>
      </c>
      <c r="B57" s="301" t="s">
        <v>65</v>
      </c>
      <c r="C57" s="295"/>
      <c r="D57" s="307"/>
      <c r="E57" s="291"/>
      <c r="F57" s="292"/>
      <c r="G57" s="292">
        <f>ROUND(125*C6,0)</f>
        <v>3534000</v>
      </c>
      <c r="H57" s="293">
        <f>SUM(F57:G57)</f>
        <v>3534000</v>
      </c>
      <c r="I57" s="265"/>
      <c r="J57" s="294" t="s">
        <v>62</v>
      </c>
      <c r="K57" s="293">
        <f>ROUND(125/2*C6,0)</f>
        <v>1767000</v>
      </c>
      <c r="L57" s="293">
        <f>ROUND(125/2*C6,0)</f>
        <v>1767000</v>
      </c>
    </row>
    <row r="58" spans="1:12" hidden="1" x14ac:dyDescent="0.2">
      <c r="A58" s="301"/>
      <c r="B58" s="301"/>
      <c r="C58" s="290"/>
      <c r="D58" s="265"/>
      <c r="E58" s="291"/>
      <c r="F58" s="292"/>
      <c r="G58" s="292"/>
      <c r="H58" s="293"/>
      <c r="I58" s="265"/>
      <c r="J58" s="294"/>
      <c r="K58" s="292"/>
      <c r="L58" s="293"/>
    </row>
    <row r="59" spans="1:12" hidden="1" x14ac:dyDescent="0.2">
      <c r="A59" s="301">
        <v>21</v>
      </c>
      <c r="B59" s="301" t="s">
        <v>66</v>
      </c>
      <c r="C59" s="290">
        <v>10000</v>
      </c>
      <c r="D59" s="265"/>
      <c r="E59" s="291"/>
      <c r="F59" s="292"/>
      <c r="G59" s="292">
        <f>(E20+E44+E49+E51+E53+E55)*10000</f>
        <v>3230000</v>
      </c>
      <c r="H59" s="293">
        <f>SUM(F59:G59)</f>
        <v>3230000</v>
      </c>
      <c r="I59" s="265"/>
      <c r="J59" s="294">
        <f>ROUND(10000*E20,0)</f>
        <v>180000</v>
      </c>
      <c r="K59" s="296">
        <f>ROUND(10000*(+E53+E51+E49+E44),0)</f>
        <v>2110000</v>
      </c>
      <c r="L59" s="297">
        <f>ROUND(10000*E55,0)</f>
        <v>940000</v>
      </c>
    </row>
    <row r="60" spans="1:12" hidden="1" x14ac:dyDescent="0.2">
      <c r="B60" s="263"/>
      <c r="C60" s="290"/>
      <c r="D60" s="265"/>
      <c r="E60" s="291"/>
      <c r="F60" s="292"/>
      <c r="G60" s="292"/>
      <c r="H60" s="293"/>
      <c r="I60" s="265"/>
      <c r="J60" s="294"/>
      <c r="K60" s="292"/>
      <c r="L60" s="293"/>
    </row>
    <row r="61" spans="1:12" ht="15.75" hidden="1" x14ac:dyDescent="0.25">
      <c r="B61" s="267" t="s">
        <v>67</v>
      </c>
      <c r="C61" s="308">
        <f>SUM(C18:C59)</f>
        <v>660600</v>
      </c>
      <c r="D61" s="265"/>
      <c r="E61" s="309">
        <f>SUM(E18:E59)</f>
        <v>428</v>
      </c>
      <c r="F61" s="310">
        <f>SUM(F18:F59)</f>
        <v>27728978.186250001</v>
      </c>
      <c r="G61" s="310">
        <f>SUM(G18:G59)</f>
        <v>14191347</v>
      </c>
      <c r="H61" s="311">
        <f>SUM(H18:H59)</f>
        <v>41920325.186250001</v>
      </c>
      <c r="I61" s="265"/>
      <c r="J61" s="312">
        <f>SUM(J18:J59)</f>
        <v>7692657</v>
      </c>
      <c r="K61" s="310">
        <f>SUM(K18:K59)</f>
        <v>22407559</v>
      </c>
      <c r="L61" s="311">
        <f>SUM(L18:L59)</f>
        <v>11820110</v>
      </c>
    </row>
    <row r="62" spans="1:12" hidden="1" x14ac:dyDescent="0.2">
      <c r="B62" s="313"/>
      <c r="J62" s="314"/>
      <c r="L62" s="314"/>
    </row>
    <row r="63" spans="1:12" hidden="1" x14ac:dyDescent="0.2">
      <c r="B63" s="313"/>
      <c r="J63" s="314"/>
      <c r="L63" s="314"/>
    </row>
    <row r="64" spans="1:12" hidden="1" x14ac:dyDescent="0.2">
      <c r="A64" s="301">
        <v>26</v>
      </c>
      <c r="B64" s="264" t="s">
        <v>68</v>
      </c>
      <c r="C64" s="272"/>
      <c r="D64" s="272"/>
      <c r="E64" s="274"/>
      <c r="L64" s="265">
        <f>+J61+K61+L61</f>
        <v>41920326</v>
      </c>
    </row>
    <row r="65" spans="1:12" hidden="1" x14ac:dyDescent="0.2">
      <c r="A65" s="301">
        <v>28</v>
      </c>
      <c r="B65" s="264" t="s">
        <v>69</v>
      </c>
      <c r="C65" s="271"/>
      <c r="D65" s="271"/>
      <c r="E65" s="274"/>
      <c r="L65" s="265">
        <f>25965476</f>
        <v>25965476</v>
      </c>
    </row>
    <row r="66" spans="1:12" ht="15.75" hidden="1" x14ac:dyDescent="0.25">
      <c r="A66" s="301">
        <v>29</v>
      </c>
      <c r="B66" s="264" t="s">
        <v>70</v>
      </c>
      <c r="C66" s="271"/>
      <c r="D66" s="271"/>
      <c r="E66" s="274"/>
      <c r="J66" s="265" t="s">
        <v>62</v>
      </c>
      <c r="L66" s="315">
        <f>+L64-L65</f>
        <v>15954850</v>
      </c>
    </row>
    <row r="67" spans="1:12" hidden="1" x14ac:dyDescent="0.2">
      <c r="B67" s="272"/>
      <c r="C67" s="271"/>
      <c r="D67" s="271"/>
      <c r="E67" s="274"/>
      <c r="J67" s="265"/>
      <c r="L67" s="265"/>
    </row>
    <row r="68" spans="1:12" ht="63" hidden="1" x14ac:dyDescent="0.25">
      <c r="B68" s="272"/>
      <c r="C68" s="271"/>
      <c r="D68" s="271"/>
      <c r="E68" s="274"/>
      <c r="J68" s="315" t="s">
        <v>71</v>
      </c>
      <c r="K68" s="316" t="s">
        <v>72</v>
      </c>
      <c r="L68" s="317" t="s">
        <v>73</v>
      </c>
    </row>
    <row r="69" spans="1:12" ht="15.75" hidden="1" x14ac:dyDescent="0.25">
      <c r="B69" s="272" t="s">
        <v>74</v>
      </c>
      <c r="C69" s="271"/>
      <c r="D69" s="271"/>
      <c r="E69" s="274"/>
      <c r="J69" s="265">
        <f>+J61+K61</f>
        <v>30100216</v>
      </c>
      <c r="K69" s="265">
        <f>+L65</f>
        <v>25965476</v>
      </c>
      <c r="L69" s="315">
        <f>+J69-K69</f>
        <v>4134740</v>
      </c>
    </row>
    <row r="70" spans="1:12" ht="15.75" hidden="1" x14ac:dyDescent="0.25">
      <c r="B70" s="318" t="s">
        <v>75</v>
      </c>
      <c r="C70" s="271"/>
      <c r="D70" s="271"/>
      <c r="E70" s="274"/>
      <c r="J70" s="265">
        <f>+L61</f>
        <v>11820110</v>
      </c>
      <c r="K70" s="265" t="s">
        <v>62</v>
      </c>
      <c r="L70" s="315">
        <f>+J70</f>
        <v>11820110</v>
      </c>
    </row>
    <row r="71" spans="1:12" hidden="1" x14ac:dyDescent="0.2"/>
    <row r="72" spans="1:12" ht="15.75" x14ac:dyDescent="0.25">
      <c r="A72" s="319" t="s">
        <v>110</v>
      </c>
      <c r="B72" s="263"/>
    </row>
    <row r="73" spans="1:12" ht="15.75" x14ac:dyDescent="0.25">
      <c r="A73" s="266" t="s">
        <v>24</v>
      </c>
      <c r="B73" s="267"/>
      <c r="C73" s="320" t="s">
        <v>76</v>
      </c>
    </row>
    <row r="74" spans="1:12" ht="15.75" x14ac:dyDescent="0.25">
      <c r="A74" s="266" t="s">
        <v>106</v>
      </c>
      <c r="B74" s="263"/>
    </row>
    <row r="75" spans="1:12" x14ac:dyDescent="0.2">
      <c r="B75" s="263"/>
      <c r="C75" s="269"/>
      <c r="D75" s="269"/>
    </row>
    <row r="76" spans="1:12" ht="15.75" x14ac:dyDescent="0.25">
      <c r="A76" s="264" t="s">
        <v>78</v>
      </c>
      <c r="B76" s="263"/>
      <c r="C76" s="270">
        <v>1985</v>
      </c>
      <c r="D76" s="270"/>
      <c r="E76" s="271"/>
    </row>
    <row r="77" spans="1:12" ht="15.75" x14ac:dyDescent="0.25">
      <c r="A77" s="264" t="s">
        <v>28</v>
      </c>
      <c r="B77" s="263"/>
      <c r="C77" s="270">
        <f>SUM(C76*0.06)</f>
        <v>119.1</v>
      </c>
      <c r="D77" s="268"/>
      <c r="E77" s="271"/>
    </row>
    <row r="78" spans="1:12" ht="15.75" x14ac:dyDescent="0.25">
      <c r="A78" s="264" t="s">
        <v>29</v>
      </c>
      <c r="B78" s="263"/>
      <c r="C78" s="270">
        <f>C76/3*0.2</f>
        <v>132.33333333333334</v>
      </c>
      <c r="D78" s="270"/>
      <c r="E78" s="271"/>
    </row>
    <row r="79" spans="1:12" ht="15.75" x14ac:dyDescent="0.25">
      <c r="B79" s="263" t="s">
        <v>30</v>
      </c>
      <c r="C79" s="270">
        <v>3</v>
      </c>
      <c r="D79" s="268"/>
      <c r="E79" s="271"/>
    </row>
    <row r="80" spans="1:12" x14ac:dyDescent="0.2">
      <c r="B80" s="263"/>
    </row>
    <row r="81" spans="1:12" x14ac:dyDescent="0.2">
      <c r="A81" s="271" t="s">
        <v>107</v>
      </c>
      <c r="B81" s="272"/>
      <c r="C81" s="321"/>
      <c r="D81" s="273"/>
      <c r="E81" s="321"/>
      <c r="F81" s="273">
        <v>63555</v>
      </c>
      <c r="I81" s="265"/>
    </row>
    <row r="82" spans="1:12" x14ac:dyDescent="0.2">
      <c r="A82" s="271" t="s">
        <v>108</v>
      </c>
      <c r="B82" s="272"/>
      <c r="C82" s="321"/>
      <c r="D82" s="273"/>
      <c r="E82" s="321"/>
      <c r="F82" s="273">
        <v>69911</v>
      </c>
      <c r="I82" s="265"/>
    </row>
    <row r="83" spans="1:12" x14ac:dyDescent="0.2">
      <c r="A83" s="271" t="s">
        <v>109</v>
      </c>
      <c r="B83" s="272"/>
      <c r="C83" s="321"/>
      <c r="D83" s="273"/>
      <c r="E83" s="321"/>
      <c r="F83" s="273">
        <v>42470</v>
      </c>
      <c r="I83" s="265"/>
    </row>
    <row r="84" spans="1:12" x14ac:dyDescent="0.2">
      <c r="A84" s="271"/>
      <c r="B84" s="272"/>
      <c r="C84" s="274"/>
      <c r="D84" s="274"/>
      <c r="I84" s="265"/>
    </row>
    <row r="85" spans="1:12" ht="15.75" x14ac:dyDescent="0.25">
      <c r="B85" s="263"/>
      <c r="J85" s="275" t="s">
        <v>34</v>
      </c>
      <c r="K85" s="419" t="s">
        <v>35</v>
      </c>
      <c r="L85" s="420"/>
    </row>
    <row r="86" spans="1:12" ht="15.75" x14ac:dyDescent="0.25">
      <c r="A86" s="266" t="s">
        <v>36</v>
      </c>
      <c r="B86" s="276"/>
      <c r="C86" s="277" t="s">
        <v>80</v>
      </c>
      <c r="D86" s="278"/>
      <c r="E86" s="275" t="s">
        <v>38</v>
      </c>
      <c r="F86" s="275" t="s">
        <v>39</v>
      </c>
      <c r="G86" s="275" t="s">
        <v>40</v>
      </c>
      <c r="H86" s="279" t="s">
        <v>0</v>
      </c>
      <c r="I86" s="280"/>
      <c r="J86" s="277" t="s">
        <v>41</v>
      </c>
      <c r="K86" s="281" t="s">
        <v>42</v>
      </c>
      <c r="L86" s="275" t="s">
        <v>43</v>
      </c>
    </row>
    <row r="87" spans="1:12" ht="15.75" x14ac:dyDescent="0.25">
      <c r="A87" s="282"/>
      <c r="B87" s="276"/>
      <c r="C87" s="283"/>
      <c r="D87" s="278"/>
      <c r="E87" s="284"/>
      <c r="F87" s="285"/>
      <c r="G87" s="285"/>
      <c r="H87" s="286"/>
      <c r="I87" s="280"/>
      <c r="J87" s="287"/>
      <c r="K87" s="288"/>
      <c r="L87" s="289"/>
    </row>
    <row r="88" spans="1:12" x14ac:dyDescent="0.2">
      <c r="A88" s="264">
        <v>1</v>
      </c>
      <c r="B88" s="263" t="s">
        <v>44</v>
      </c>
      <c r="C88" s="290">
        <v>50000</v>
      </c>
      <c r="D88" s="265"/>
      <c r="E88" s="291"/>
      <c r="F88" s="292"/>
      <c r="G88" s="292">
        <f>+C88</f>
        <v>50000</v>
      </c>
      <c r="H88" s="293">
        <f>SUM(F88+G88)</f>
        <v>50000</v>
      </c>
      <c r="I88" s="265"/>
      <c r="J88" s="294">
        <f>+H88</f>
        <v>50000</v>
      </c>
      <c r="K88" s="292"/>
      <c r="L88" s="293"/>
    </row>
    <row r="89" spans="1:12" x14ac:dyDescent="0.2">
      <c r="B89" s="263"/>
      <c r="C89" s="290"/>
      <c r="D89" s="265"/>
      <c r="E89" s="291"/>
      <c r="F89" s="292"/>
      <c r="G89" s="292"/>
      <c r="H89" s="293"/>
      <c r="I89" s="265"/>
      <c r="J89" s="294"/>
      <c r="K89" s="292"/>
      <c r="L89" s="293"/>
    </row>
    <row r="90" spans="1:12" x14ac:dyDescent="0.2">
      <c r="A90" s="264">
        <v>2</v>
      </c>
      <c r="B90" s="263" t="s">
        <v>45</v>
      </c>
      <c r="C90" s="290">
        <v>89606</v>
      </c>
      <c r="D90" s="265"/>
      <c r="E90" s="291">
        <v>1</v>
      </c>
      <c r="F90" s="292">
        <f>+C90*E90</f>
        <v>89606</v>
      </c>
      <c r="G90" s="292"/>
      <c r="H90" s="293">
        <f>SUM(F90+G90)</f>
        <v>89606</v>
      </c>
      <c r="I90" s="265"/>
      <c r="J90" s="294">
        <f>+H90</f>
        <v>89606</v>
      </c>
      <c r="K90" s="292"/>
      <c r="L90" s="293"/>
    </row>
    <row r="91" spans="1:12" x14ac:dyDescent="0.2">
      <c r="B91" s="263"/>
      <c r="C91" s="290"/>
      <c r="D91" s="265"/>
      <c r="E91" s="291"/>
      <c r="F91" s="292"/>
      <c r="G91" s="292"/>
      <c r="H91" s="293"/>
      <c r="I91" s="265"/>
      <c r="J91" s="294"/>
      <c r="K91" s="292"/>
      <c r="L91" s="293"/>
    </row>
    <row r="92" spans="1:12" x14ac:dyDescent="0.2">
      <c r="A92" s="264">
        <v>3</v>
      </c>
      <c r="B92" s="301" t="s">
        <v>176</v>
      </c>
      <c r="C92" s="290">
        <v>69911</v>
      </c>
      <c r="D92" s="265"/>
      <c r="E92" s="291">
        <v>1</v>
      </c>
      <c r="F92" s="292">
        <f>+C92*E92</f>
        <v>69911</v>
      </c>
      <c r="G92" s="292"/>
      <c r="H92" s="293">
        <f>SUM(F92+G92)</f>
        <v>69911</v>
      </c>
      <c r="I92" s="265"/>
      <c r="J92" s="294"/>
      <c r="K92" s="292"/>
      <c r="L92" s="293">
        <f>$H$92</f>
        <v>69911</v>
      </c>
    </row>
    <row r="93" spans="1:12" x14ac:dyDescent="0.2">
      <c r="B93" s="263"/>
      <c r="C93" s="290"/>
      <c r="D93" s="265"/>
      <c r="E93" s="291"/>
      <c r="F93" s="292"/>
      <c r="G93" s="292"/>
      <c r="H93" s="293"/>
      <c r="I93" s="265"/>
      <c r="J93" s="294"/>
      <c r="K93" s="292"/>
      <c r="L93" s="293"/>
    </row>
    <row r="94" spans="1:12" x14ac:dyDescent="0.2">
      <c r="A94" s="264">
        <v>4</v>
      </c>
      <c r="B94" s="263" t="s">
        <v>46</v>
      </c>
      <c r="C94" s="290">
        <v>45865</v>
      </c>
      <c r="D94" s="265"/>
      <c r="E94" s="291">
        <v>1</v>
      </c>
      <c r="F94" s="292">
        <f>+C94*E94</f>
        <v>45865</v>
      </c>
      <c r="G94" s="292"/>
      <c r="H94" s="293">
        <f>SUM(F94+G94)</f>
        <v>45865</v>
      </c>
      <c r="I94" s="265"/>
      <c r="J94" s="294">
        <f>+H94</f>
        <v>45865</v>
      </c>
      <c r="K94" s="292"/>
      <c r="L94" s="293"/>
    </row>
    <row r="95" spans="1:12" x14ac:dyDescent="0.2">
      <c r="B95" s="263"/>
      <c r="C95" s="290"/>
      <c r="D95" s="265"/>
      <c r="E95" s="291"/>
      <c r="F95" s="292"/>
      <c r="G95" s="292"/>
      <c r="H95" s="293"/>
      <c r="I95" s="265"/>
      <c r="J95" s="294"/>
      <c r="K95" s="292"/>
      <c r="L95" s="293"/>
    </row>
    <row r="96" spans="1:12" x14ac:dyDescent="0.2">
      <c r="A96" s="264">
        <v>5</v>
      </c>
      <c r="B96" s="263" t="s">
        <v>47</v>
      </c>
      <c r="C96" s="290">
        <v>42470</v>
      </c>
      <c r="D96" s="265"/>
      <c r="E96" s="291">
        <v>1</v>
      </c>
      <c r="F96" s="292">
        <f>+C96*E96</f>
        <v>42470</v>
      </c>
      <c r="G96" s="292"/>
      <c r="H96" s="293">
        <f>SUM(F96+G96)</f>
        <v>42470</v>
      </c>
      <c r="I96" s="265"/>
      <c r="J96" s="294">
        <f>+H96</f>
        <v>42470</v>
      </c>
      <c r="K96" s="292"/>
      <c r="L96" s="293"/>
    </row>
    <row r="97" spans="1:12" x14ac:dyDescent="0.2">
      <c r="B97" s="263"/>
      <c r="C97" s="290"/>
      <c r="D97" s="265"/>
      <c r="E97" s="291"/>
      <c r="F97" s="292"/>
      <c r="G97" s="292"/>
      <c r="H97" s="293"/>
      <c r="I97" s="265"/>
      <c r="J97" s="294"/>
      <c r="K97" s="292"/>
      <c r="L97" s="293"/>
    </row>
    <row r="98" spans="1:12" x14ac:dyDescent="0.2">
      <c r="A98" s="264">
        <v>6</v>
      </c>
      <c r="B98" s="263" t="s">
        <v>113</v>
      </c>
      <c r="C98" s="290">
        <v>57775</v>
      </c>
      <c r="D98" s="265"/>
      <c r="E98" s="291">
        <v>1</v>
      </c>
      <c r="F98" s="292">
        <f>+C98*E98</f>
        <v>57775</v>
      </c>
      <c r="G98" s="292"/>
      <c r="H98" s="293">
        <f>SUM(F98+G98)</f>
        <v>57775</v>
      </c>
      <c r="I98" s="265"/>
      <c r="J98" s="294">
        <f>+H98</f>
        <v>57775</v>
      </c>
      <c r="K98" s="292"/>
      <c r="L98" s="293"/>
    </row>
    <row r="99" spans="1:12" x14ac:dyDescent="0.2">
      <c r="B99" s="263"/>
      <c r="C99" s="290"/>
      <c r="D99" s="265"/>
      <c r="E99" s="291"/>
      <c r="F99" s="292"/>
      <c r="G99" s="292"/>
      <c r="H99" s="293"/>
      <c r="I99" s="265"/>
      <c r="J99" s="294"/>
      <c r="K99" s="292"/>
      <c r="L99" s="293"/>
    </row>
    <row r="100" spans="1:12" x14ac:dyDescent="0.2">
      <c r="A100" s="264">
        <v>7</v>
      </c>
      <c r="B100" s="263" t="s">
        <v>151</v>
      </c>
      <c r="C100" s="273">
        <v>42470</v>
      </c>
      <c r="D100" s="265"/>
      <c r="E100" s="322">
        <f>ROUND(C77/100,0)</f>
        <v>1</v>
      </c>
      <c r="F100" s="292">
        <f>SUM(E100*C100)</f>
        <v>42470</v>
      </c>
      <c r="G100" s="292"/>
      <c r="H100" s="293">
        <f>SUM(F100+G100)</f>
        <v>42470</v>
      </c>
      <c r="I100" s="265"/>
      <c r="J100" s="293">
        <f>SUM(H100+I100)</f>
        <v>42470</v>
      </c>
      <c r="K100" s="296"/>
      <c r="L100" s="297"/>
    </row>
    <row r="101" spans="1:12" x14ac:dyDescent="0.2">
      <c r="B101" s="263"/>
      <c r="C101" s="273"/>
      <c r="D101" s="265"/>
      <c r="E101" s="322"/>
      <c r="F101" s="292"/>
      <c r="G101" s="292"/>
      <c r="H101" s="293"/>
      <c r="I101" s="265"/>
      <c r="J101" s="292"/>
      <c r="K101" s="296"/>
      <c r="L101" s="297"/>
    </row>
    <row r="102" spans="1:12" x14ac:dyDescent="0.2">
      <c r="A102" s="264">
        <v>8</v>
      </c>
      <c r="B102" s="263" t="s">
        <v>199</v>
      </c>
      <c r="C102" s="290"/>
      <c r="D102" s="265"/>
      <c r="E102" s="291"/>
      <c r="F102" s="292"/>
      <c r="G102" s="292">
        <v>10200</v>
      </c>
      <c r="H102" s="293">
        <v>10200</v>
      </c>
      <c r="I102" s="265"/>
      <c r="J102" s="292">
        <v>10200</v>
      </c>
      <c r="K102" s="292"/>
      <c r="L102" s="293"/>
    </row>
    <row r="103" spans="1:12" x14ac:dyDescent="0.2">
      <c r="B103" s="263"/>
      <c r="C103" s="290"/>
      <c r="D103" s="265"/>
      <c r="E103" s="291"/>
      <c r="F103" s="292"/>
      <c r="G103" s="292"/>
      <c r="H103" s="293"/>
      <c r="I103" s="265"/>
      <c r="J103" s="294"/>
      <c r="K103" s="292"/>
      <c r="L103" s="293"/>
    </row>
    <row r="104" spans="1:12" x14ac:dyDescent="0.2">
      <c r="A104" s="264">
        <v>9</v>
      </c>
      <c r="B104" s="263" t="s">
        <v>50</v>
      </c>
      <c r="C104" s="290">
        <v>15000</v>
      </c>
      <c r="D104" s="265"/>
      <c r="E104" s="291"/>
      <c r="F104" s="292"/>
      <c r="G104" s="292">
        <f>+C104</f>
        <v>15000</v>
      </c>
      <c r="H104" s="293">
        <f>SUM(F104+G104)</f>
        <v>15000</v>
      </c>
      <c r="I104" s="265"/>
      <c r="J104" s="323">
        <f>+H104</f>
        <v>15000</v>
      </c>
      <c r="K104" s="292"/>
      <c r="L104" s="293"/>
    </row>
    <row r="105" spans="1:12" x14ac:dyDescent="0.2">
      <c r="B105" s="263"/>
      <c r="C105" s="290"/>
      <c r="D105" s="265"/>
      <c r="E105" s="291"/>
      <c r="F105" s="292"/>
      <c r="G105" s="292"/>
      <c r="H105" s="293"/>
      <c r="I105" s="265"/>
      <c r="J105" s="323"/>
      <c r="K105" s="292"/>
      <c r="L105" s="293"/>
    </row>
    <row r="106" spans="1:12" x14ac:dyDescent="0.2">
      <c r="A106" s="264">
        <v>10</v>
      </c>
      <c r="B106" s="263" t="s">
        <v>51</v>
      </c>
      <c r="C106" s="290">
        <v>30000</v>
      </c>
      <c r="D106" s="265"/>
      <c r="E106" s="291"/>
      <c r="F106" s="292"/>
      <c r="G106" s="292">
        <f>+C106</f>
        <v>30000</v>
      </c>
      <c r="H106" s="293">
        <f>SUM(F106+G106)</f>
        <v>30000</v>
      </c>
      <c r="I106" s="265"/>
      <c r="J106" s="323">
        <f>+H106</f>
        <v>30000</v>
      </c>
      <c r="K106" s="292"/>
      <c r="L106" s="293"/>
    </row>
    <row r="107" spans="1:12" x14ac:dyDescent="0.2">
      <c r="B107" s="263"/>
      <c r="C107" s="290"/>
      <c r="D107" s="265"/>
      <c r="E107" s="291"/>
      <c r="F107" s="292"/>
      <c r="G107" s="292"/>
      <c r="H107" s="293"/>
      <c r="I107" s="265"/>
      <c r="J107" s="323"/>
      <c r="K107" s="292"/>
      <c r="L107" s="293"/>
    </row>
    <row r="108" spans="1:12" x14ac:dyDescent="0.2">
      <c r="A108" s="264">
        <v>11</v>
      </c>
      <c r="B108" s="263" t="s">
        <v>52</v>
      </c>
      <c r="C108" s="290">
        <v>40000</v>
      </c>
      <c r="D108" s="265"/>
      <c r="E108" s="291"/>
      <c r="F108" s="292"/>
      <c r="G108" s="292">
        <f>+C108</f>
        <v>40000</v>
      </c>
      <c r="H108" s="293">
        <f>SUM(F108+G108)</f>
        <v>40000</v>
      </c>
      <c r="I108" s="265"/>
      <c r="J108" s="323">
        <f>+H108</f>
        <v>40000</v>
      </c>
      <c r="K108" s="292"/>
      <c r="L108" s="293"/>
    </row>
    <row r="109" spans="1:12" x14ac:dyDescent="0.2">
      <c r="B109" s="263"/>
      <c r="C109" s="290"/>
      <c r="D109" s="265"/>
      <c r="E109" s="291"/>
      <c r="F109" s="292"/>
      <c r="G109" s="292"/>
      <c r="H109" s="293"/>
      <c r="I109" s="265"/>
      <c r="J109" s="294"/>
      <c r="K109" s="292"/>
      <c r="L109" s="293"/>
    </row>
    <row r="110" spans="1:12" x14ac:dyDescent="0.2">
      <c r="A110" s="264">
        <v>12</v>
      </c>
      <c r="B110" s="263" t="s">
        <v>53</v>
      </c>
      <c r="C110" s="290"/>
      <c r="D110" s="265"/>
      <c r="E110" s="291"/>
      <c r="F110" s="292"/>
      <c r="G110" s="292">
        <f>ROUND((F90+F92+F94+F96+F98+F112+F116+F118+F123+F125+F127+F129+F100+F131+F120)*0.15,0)</f>
        <v>417485</v>
      </c>
      <c r="H110" s="293">
        <f>SUM(G110)</f>
        <v>417485</v>
      </c>
      <c r="I110" s="265"/>
      <c r="J110" s="323">
        <f>ROUND((SUM(F90:F100)*0.15),0)</f>
        <v>52215</v>
      </c>
      <c r="K110" s="324">
        <f>ROUND(SUM(F112:F127,F129)*0.15,0)</f>
        <v>298537</v>
      </c>
      <c r="L110" s="325">
        <f>ROUND(F131*0.15,0)</f>
        <v>66733</v>
      </c>
    </row>
    <row r="111" spans="1:12" x14ac:dyDescent="0.2">
      <c r="B111" s="263"/>
      <c r="C111" s="290"/>
      <c r="D111" s="265"/>
      <c r="E111" s="291"/>
      <c r="F111" s="292"/>
      <c r="G111" s="292"/>
      <c r="H111" s="293"/>
      <c r="I111" s="265"/>
      <c r="J111" s="294"/>
      <c r="K111" s="296"/>
      <c r="L111" s="297"/>
    </row>
    <row r="112" spans="1:12" x14ac:dyDescent="0.2">
      <c r="A112" s="264">
        <v>13</v>
      </c>
      <c r="B112" s="263" t="s">
        <v>54</v>
      </c>
      <c r="C112" s="290"/>
      <c r="D112" s="265"/>
      <c r="E112" s="291"/>
      <c r="F112" s="292">
        <f>(F90+F92+F94+F96+F116+F98+F118++F123+F125+F127+F131+F100+F129+F120)*0.2045</f>
        <v>472536.90254999994</v>
      </c>
      <c r="G112" s="292"/>
      <c r="H112" s="293">
        <f>(F90+F92+F94+F96+F98+F116+F118+F123+F125+F127+F131+F100+F129+F120)*0.2045</f>
        <v>472536.90254999994</v>
      </c>
      <c r="I112" s="265"/>
      <c r="J112" s="323">
        <f>ROUND((SUM(F90:F100)*0.2045),0)</f>
        <v>71186</v>
      </c>
      <c r="K112" s="324">
        <f>ROUND((SUM(F116:F129)*0.2045),0)</f>
        <v>310372</v>
      </c>
      <c r="L112" s="325">
        <f>ROUND(F131*0.2045,0)</f>
        <v>90979</v>
      </c>
    </row>
    <row r="113" spans="1:12" x14ac:dyDescent="0.2">
      <c r="B113" s="263"/>
      <c r="C113" s="290"/>
      <c r="D113" s="265"/>
      <c r="E113" s="291"/>
      <c r="F113" s="292"/>
      <c r="G113" s="292"/>
      <c r="H113" s="293"/>
      <c r="I113" s="265"/>
      <c r="J113" s="294"/>
      <c r="K113" s="296"/>
      <c r="L113" s="297"/>
    </row>
    <row r="114" spans="1:12" x14ac:dyDescent="0.2">
      <c r="A114" s="264">
        <v>14</v>
      </c>
      <c r="B114" s="263" t="s">
        <v>55</v>
      </c>
      <c r="C114" s="290">
        <v>2000</v>
      </c>
      <c r="D114" s="265"/>
      <c r="E114" s="291"/>
      <c r="F114" s="292"/>
      <c r="G114" s="292">
        <f>E139*2000</f>
        <v>70000</v>
      </c>
      <c r="H114" s="293">
        <f t="shared" ref="H114" si="0">SUM(F114+G114)</f>
        <v>70000</v>
      </c>
      <c r="I114" s="265"/>
      <c r="J114" s="294">
        <f>(E90+E92+E94+E96+E98+E100)*2000</f>
        <v>12000</v>
      </c>
      <c r="K114" s="296">
        <f>ROUND(SUM(E118,E123,E125,E127,E129,E120)*2000,0)</f>
        <v>44000</v>
      </c>
      <c r="L114" s="297">
        <f>ROUND(E131*2000,0)</f>
        <v>14000</v>
      </c>
    </row>
    <row r="115" spans="1:12" x14ac:dyDescent="0.2">
      <c r="B115" s="263"/>
      <c r="C115" s="290"/>
      <c r="D115" s="265"/>
      <c r="E115" s="291"/>
      <c r="F115" s="292"/>
      <c r="G115" s="292"/>
      <c r="H115" s="293"/>
      <c r="I115" s="265"/>
      <c r="J115" s="294"/>
      <c r="K115" s="296"/>
      <c r="L115" s="297"/>
    </row>
    <row r="116" spans="1:12" ht="51.75" customHeight="1" x14ac:dyDescent="0.2">
      <c r="A116" s="264">
        <v>15</v>
      </c>
      <c r="B116" s="263" t="s">
        <v>114</v>
      </c>
      <c r="C116" s="290"/>
      <c r="D116" s="265"/>
      <c r="E116" s="291"/>
      <c r="F116" s="292">
        <f>(F123+F127+F129+F118+F120+F131+F125)*0.1</f>
        <v>178417.90000000002</v>
      </c>
      <c r="G116" s="292"/>
      <c r="H116" s="293">
        <f>SUM(F116+G116)</f>
        <v>178417.90000000002</v>
      </c>
      <c r="I116" s="265"/>
      <c r="J116" s="294"/>
      <c r="K116" s="296">
        <f>ROUND((+F118+F123+F127+F129+F120+F125)*0.1,0)</f>
        <v>133929</v>
      </c>
      <c r="L116" s="297">
        <f>ROUND(F131*0.1,0)</f>
        <v>44489</v>
      </c>
    </row>
    <row r="117" spans="1:12" x14ac:dyDescent="0.2">
      <c r="B117" s="263"/>
      <c r="C117" s="290"/>
      <c r="D117" s="265"/>
      <c r="E117" s="291"/>
      <c r="F117" s="292"/>
      <c r="G117" s="292"/>
      <c r="H117" s="293"/>
      <c r="I117" s="265"/>
      <c r="J117" s="294"/>
      <c r="K117" s="292"/>
      <c r="L117" s="293"/>
    </row>
    <row r="118" spans="1:12" x14ac:dyDescent="0.2">
      <c r="A118" s="264">
        <v>16</v>
      </c>
      <c r="B118" s="263" t="s">
        <v>57</v>
      </c>
      <c r="C118" s="290">
        <v>69911</v>
      </c>
      <c r="D118" s="265"/>
      <c r="E118" s="326">
        <f>ROUND((E131+E127+E125+E123+E129+E120)/6,0)</f>
        <v>4</v>
      </c>
      <c r="F118" s="292">
        <f>F82*E118</f>
        <v>279644</v>
      </c>
      <c r="G118" s="292"/>
      <c r="H118" s="293">
        <f t="shared" ref="H118" si="1">SUM(F118+G118)</f>
        <v>279644</v>
      </c>
      <c r="I118" s="265"/>
      <c r="J118" s="291"/>
      <c r="K118" s="296">
        <f>ROUND(F118*((+E$49+E$51+E$53)/(E$49+E$51+E$53+E$55)),0)</f>
        <v>176154</v>
      </c>
      <c r="L118" s="297">
        <f>ROUND((+F118*(E$55/(+E$49+E$51+E$53+E$55))),0)</f>
        <v>103490</v>
      </c>
    </row>
    <row r="119" spans="1:12" x14ac:dyDescent="0.2">
      <c r="B119" s="263"/>
      <c r="C119" s="290"/>
      <c r="D119" s="265"/>
      <c r="E119" s="291"/>
      <c r="F119" s="292"/>
      <c r="G119" s="292"/>
      <c r="H119" s="293"/>
      <c r="I119" s="265"/>
      <c r="J119" s="294"/>
      <c r="K119" s="292"/>
      <c r="L119" s="293"/>
    </row>
    <row r="120" spans="1:12" x14ac:dyDescent="0.2">
      <c r="A120" s="301">
        <v>17</v>
      </c>
      <c r="B120" s="301" t="s">
        <v>160</v>
      </c>
      <c r="C120" s="290">
        <v>42470</v>
      </c>
      <c r="D120" s="265"/>
      <c r="E120" s="326">
        <f>ROUNDUP((E131+E127+E125+E123+E129)/6,0)</f>
        <v>4</v>
      </c>
      <c r="F120" s="327">
        <f>F83*E120</f>
        <v>169880</v>
      </c>
      <c r="H120" s="293">
        <f t="shared" ref="H120" si="2">SUM(F120+G120)</f>
        <v>169880</v>
      </c>
      <c r="I120" s="265"/>
      <c r="J120" s="294"/>
      <c r="K120" s="296">
        <f>ROUND(F120*((+E$49+E$51+E$53)/(E$49+E$51+E$53+E$55)),0)</f>
        <v>107011</v>
      </c>
      <c r="L120" s="297">
        <f>ROUND((+F120*(E$55/(+E$49+E$51+E$53+E$55))),0)</f>
        <v>62869</v>
      </c>
    </row>
    <row r="121" spans="1:12" x14ac:dyDescent="0.2">
      <c r="B121" s="263"/>
      <c r="C121" s="290"/>
      <c r="D121" s="265"/>
      <c r="E121" s="291"/>
      <c r="F121" s="292"/>
      <c r="G121" s="292"/>
      <c r="H121" s="293"/>
      <c r="I121" s="265"/>
      <c r="J121" s="294"/>
      <c r="K121" s="292"/>
      <c r="L121" s="293"/>
    </row>
    <row r="122" spans="1:12" ht="15.75" x14ac:dyDescent="0.25">
      <c r="A122" s="282" t="s">
        <v>115</v>
      </c>
      <c r="B122" s="263"/>
      <c r="C122" s="290"/>
      <c r="D122" s="265"/>
      <c r="E122" s="291"/>
      <c r="F122" s="292"/>
      <c r="G122" s="292"/>
      <c r="H122" s="293"/>
      <c r="I122" s="265"/>
      <c r="J122" s="294"/>
      <c r="K122" s="292"/>
      <c r="L122" s="293"/>
    </row>
    <row r="123" spans="1:12" x14ac:dyDescent="0.2">
      <c r="A123" s="300">
        <v>18</v>
      </c>
      <c r="B123" s="301" t="s">
        <v>60</v>
      </c>
      <c r="C123" s="302">
        <v>63555</v>
      </c>
      <c r="D123" s="303"/>
      <c r="E123" s="304">
        <f>ROUND(C77/30,0)</f>
        <v>4</v>
      </c>
      <c r="F123" s="305">
        <f>F81*E123</f>
        <v>254220</v>
      </c>
      <c r="G123" s="305"/>
      <c r="H123" s="293">
        <f t="shared" ref="H123" si="3">SUM(F123+G123)</f>
        <v>254220</v>
      </c>
      <c r="I123" s="303"/>
      <c r="J123" s="306"/>
      <c r="K123" s="292">
        <f>SUM(E123*F81)</f>
        <v>254220</v>
      </c>
      <c r="L123" s="293"/>
    </row>
    <row r="124" spans="1:12" x14ac:dyDescent="0.2">
      <c r="A124" s="301"/>
      <c r="B124" s="301"/>
      <c r="C124" s="290"/>
      <c r="D124" s="265"/>
      <c r="E124" s="291"/>
      <c r="F124" s="292"/>
      <c r="G124" s="292"/>
      <c r="H124" s="293"/>
      <c r="I124" s="265"/>
      <c r="J124" s="294"/>
      <c r="K124" s="292"/>
      <c r="L124" s="293"/>
    </row>
    <row r="125" spans="1:12" ht="30" x14ac:dyDescent="0.2">
      <c r="A125" s="300">
        <v>19</v>
      </c>
      <c r="B125" s="301" t="s">
        <v>61</v>
      </c>
      <c r="C125" s="290">
        <v>63555</v>
      </c>
      <c r="D125" s="265"/>
      <c r="E125" s="291">
        <v>1</v>
      </c>
      <c r="F125" s="292">
        <f>F81*E125</f>
        <v>63555</v>
      </c>
      <c r="G125" s="292"/>
      <c r="H125" s="293">
        <f t="shared" ref="H125" si="4">SUM(F125+G125)</f>
        <v>63555</v>
      </c>
      <c r="I125" s="265"/>
      <c r="J125" s="294" t="s">
        <v>62</v>
      </c>
      <c r="K125" s="292">
        <f>SUM(E125*F81)</f>
        <v>63555</v>
      </c>
      <c r="L125" s="293"/>
    </row>
    <row r="126" spans="1:12" x14ac:dyDescent="0.2">
      <c r="A126" s="301"/>
      <c r="B126" s="301"/>
      <c r="C126" s="290"/>
      <c r="D126" s="265"/>
      <c r="E126" s="291"/>
      <c r="F126" s="292"/>
      <c r="G126" s="292"/>
      <c r="H126" s="293"/>
      <c r="I126" s="265"/>
      <c r="J126" s="294"/>
      <c r="K126" s="292"/>
      <c r="L126" s="293"/>
    </row>
    <row r="127" spans="1:12" ht="36" customHeight="1" x14ac:dyDescent="0.2">
      <c r="A127" s="301">
        <v>20</v>
      </c>
      <c r="B127" s="301" t="s">
        <v>63</v>
      </c>
      <c r="C127" s="290">
        <v>63555</v>
      </c>
      <c r="D127" s="265"/>
      <c r="E127" s="291">
        <f>ROUND(C77/20,0)</f>
        <v>6</v>
      </c>
      <c r="F127" s="292">
        <f>F81*E127</f>
        <v>381330</v>
      </c>
      <c r="G127" s="292"/>
      <c r="H127" s="293">
        <f t="shared" ref="H127" si="5">SUM(F127+G127)</f>
        <v>381330</v>
      </c>
      <c r="I127" s="265"/>
      <c r="J127" s="294"/>
      <c r="K127" s="292">
        <f>SUM(E127*F81)</f>
        <v>381330</v>
      </c>
      <c r="L127" s="293"/>
    </row>
    <row r="128" spans="1:12" x14ac:dyDescent="0.2">
      <c r="A128" s="301"/>
      <c r="B128" s="301"/>
      <c r="C128" s="290"/>
      <c r="D128" s="265"/>
      <c r="E128" s="291"/>
      <c r="F128" s="292"/>
      <c r="G128" s="292"/>
      <c r="H128" s="293"/>
      <c r="I128" s="265"/>
      <c r="J128" s="294"/>
      <c r="K128" s="292"/>
      <c r="L128" s="293"/>
    </row>
    <row r="129" spans="1:12" x14ac:dyDescent="0.2">
      <c r="A129" s="301">
        <v>21</v>
      </c>
      <c r="B129" s="301" t="s">
        <v>111</v>
      </c>
      <c r="C129" s="290">
        <v>63555</v>
      </c>
      <c r="D129" s="265"/>
      <c r="E129" s="328">
        <f>ROUNDDOWN(C78/40,0)</f>
        <v>3</v>
      </c>
      <c r="F129" s="292">
        <f>F81*E129</f>
        <v>190665</v>
      </c>
      <c r="G129" s="292"/>
      <c r="H129" s="293">
        <f t="shared" ref="H129" si="6">SUM(F129+G129)</f>
        <v>190665</v>
      </c>
      <c r="I129" s="290"/>
      <c r="K129" s="265">
        <f>SUM(E129*F81)</f>
        <v>190665</v>
      </c>
      <c r="L129" s="329"/>
    </row>
    <row r="130" spans="1:12" x14ac:dyDescent="0.2">
      <c r="A130" s="301"/>
      <c r="B130" s="301"/>
      <c r="C130" s="290"/>
      <c r="D130" s="265"/>
      <c r="E130" s="291"/>
      <c r="F130" s="292"/>
      <c r="G130" s="292"/>
      <c r="H130" s="293"/>
      <c r="I130" s="290"/>
      <c r="L130" s="329"/>
    </row>
    <row r="131" spans="1:12" x14ac:dyDescent="0.2">
      <c r="A131" s="301">
        <v>22</v>
      </c>
      <c r="B131" s="301" t="s">
        <v>112</v>
      </c>
      <c r="C131" s="290">
        <v>63555</v>
      </c>
      <c r="D131" s="265"/>
      <c r="E131" s="328">
        <f>ROUND(C78/20,0)</f>
        <v>7</v>
      </c>
      <c r="F131" s="292">
        <f>SUM(E131*F81)</f>
        <v>444885</v>
      </c>
      <c r="H131" s="293">
        <f t="shared" ref="H131" si="7">SUM(F131+G131)</f>
        <v>444885</v>
      </c>
      <c r="I131" s="290"/>
      <c r="K131" s="265"/>
      <c r="L131" s="293">
        <f>SUM(H131)</f>
        <v>444885</v>
      </c>
    </row>
    <row r="132" spans="1:12" x14ac:dyDescent="0.2">
      <c r="A132" s="301"/>
      <c r="B132" s="301"/>
      <c r="C132" s="290"/>
      <c r="D132" s="265"/>
      <c r="E132" s="291"/>
      <c r="F132" s="292"/>
      <c r="H132" s="293"/>
      <c r="I132" s="290"/>
      <c r="L132" s="329"/>
    </row>
    <row r="133" spans="1:12" x14ac:dyDescent="0.2">
      <c r="A133" s="301">
        <v>23</v>
      </c>
      <c r="B133" s="301" t="s">
        <v>155</v>
      </c>
      <c r="C133" s="295"/>
      <c r="D133" s="307"/>
      <c r="E133" s="291"/>
      <c r="F133" s="292"/>
      <c r="G133" s="292">
        <f>ROUND(175*C76,0)</f>
        <v>347375</v>
      </c>
      <c r="H133" s="293">
        <f t="shared" ref="H133" si="8">SUM(F133+G133)</f>
        <v>347375</v>
      </c>
      <c r="I133" s="265"/>
      <c r="J133" s="294" t="s">
        <v>62</v>
      </c>
      <c r="K133" s="292">
        <f>ROUND(175/2*C76,0)</f>
        <v>173688</v>
      </c>
      <c r="L133" s="293">
        <f>ROUND(175/2*C76,0)</f>
        <v>173688</v>
      </c>
    </row>
    <row r="134" spans="1:12" x14ac:dyDescent="0.2">
      <c r="A134" s="301"/>
      <c r="B134" s="301"/>
      <c r="C134" s="290"/>
      <c r="D134" s="265"/>
      <c r="E134" s="291"/>
      <c r="F134" s="292"/>
      <c r="G134" s="292"/>
      <c r="H134" s="293"/>
      <c r="I134" s="265"/>
      <c r="J134" s="294"/>
      <c r="K134" s="292"/>
      <c r="L134" s="293"/>
    </row>
    <row r="135" spans="1:12" x14ac:dyDescent="0.2">
      <c r="A135" s="301">
        <v>24</v>
      </c>
      <c r="B135" s="301" t="s">
        <v>66</v>
      </c>
      <c r="C135" s="290">
        <v>11500</v>
      </c>
      <c r="D135" s="265"/>
      <c r="E135" s="291"/>
      <c r="F135" s="292"/>
      <c r="G135" s="292">
        <f>(E90+E118+E129+E123+E125+E127+E131+E120)*11500</f>
        <v>345000</v>
      </c>
      <c r="H135" s="293">
        <f>SUM(F135:G135)</f>
        <v>345000</v>
      </c>
      <c r="I135" s="265"/>
      <c r="J135" s="323">
        <f>ROUND(11500*E90,0)</f>
        <v>11500</v>
      </c>
      <c r="K135" s="296">
        <f>(ROUND(11500*(+E127+E125+E123+E129+E118+E120),0))</f>
        <v>253000</v>
      </c>
      <c r="L135" s="297">
        <f>ROUND(11500*E131,0)</f>
        <v>80500</v>
      </c>
    </row>
    <row r="136" spans="1:12" x14ac:dyDescent="0.2">
      <c r="A136" s="301"/>
      <c r="B136" s="301"/>
      <c r="C136" s="290"/>
      <c r="D136" s="265"/>
      <c r="E136" s="291"/>
      <c r="G136" s="292"/>
      <c r="H136" s="293"/>
      <c r="J136" s="294"/>
      <c r="K136" s="296"/>
      <c r="L136" s="297"/>
    </row>
    <row r="137" spans="1:12" x14ac:dyDescent="0.2">
      <c r="A137" s="301">
        <v>25</v>
      </c>
      <c r="B137" s="301" t="s">
        <v>82</v>
      </c>
      <c r="C137" s="290"/>
      <c r="D137" s="265"/>
      <c r="E137" s="291"/>
      <c r="G137" s="292">
        <v>42320</v>
      </c>
      <c r="H137" s="293">
        <f t="shared" ref="H137" si="9">SUM(F137+G137)</f>
        <v>42320</v>
      </c>
      <c r="I137" s="330"/>
      <c r="J137" s="292"/>
      <c r="K137" s="296"/>
      <c r="L137" s="297">
        <f>+H137</f>
        <v>42320</v>
      </c>
    </row>
    <row r="138" spans="1:12" ht="15.75" thickBot="1" x14ac:dyDescent="0.25">
      <c r="B138" s="331"/>
      <c r="C138" s="332"/>
      <c r="D138" s="265"/>
      <c r="E138" s="291"/>
      <c r="H138" s="293"/>
      <c r="I138" s="333"/>
      <c r="J138" s="265"/>
      <c r="L138" s="293"/>
    </row>
    <row r="139" spans="1:12" ht="16.5" thickBot="1" x14ac:dyDescent="0.3">
      <c r="B139" s="334" t="s">
        <v>67</v>
      </c>
      <c r="C139" s="335"/>
      <c r="D139" s="336"/>
      <c r="E139" s="337">
        <f>SUM(E87:E138)</f>
        <v>35</v>
      </c>
      <c r="F139" s="336">
        <f>SUM(F87:F137)</f>
        <v>2783230.8025500001</v>
      </c>
      <c r="G139" s="336">
        <f>SUM(G88:G137)</f>
        <v>1367380</v>
      </c>
      <c r="H139" s="338">
        <f>SUM(H88:H138)</f>
        <v>4150610.8025500001</v>
      </c>
      <c r="I139" s="336"/>
      <c r="J139" s="339">
        <f>SUM(J88:J137)</f>
        <v>570287</v>
      </c>
      <c r="K139" s="336">
        <f>SUM(K88:K138)</f>
        <v>2386461</v>
      </c>
      <c r="L139" s="340">
        <f>SUM(L87:L138)</f>
        <v>1193864</v>
      </c>
    </row>
    <row r="140" spans="1:12" ht="15.75" x14ac:dyDescent="0.25">
      <c r="B140" s="318"/>
      <c r="C140" s="271"/>
      <c r="D140" s="271"/>
      <c r="E140" s="274"/>
      <c r="J140" s="265"/>
      <c r="K140" s="265"/>
      <c r="L140" s="341"/>
    </row>
    <row r="141" spans="1:12" ht="15.75" x14ac:dyDescent="0.25">
      <c r="A141" s="266"/>
      <c r="C141" s="272"/>
      <c r="D141" s="272"/>
      <c r="E141" s="274"/>
      <c r="J141" s="265"/>
      <c r="K141" s="265"/>
      <c r="L141" s="342"/>
    </row>
    <row r="143" spans="1:12" x14ac:dyDescent="0.2">
      <c r="A143" s="262"/>
      <c r="B143" s="263"/>
    </row>
    <row r="144" spans="1:12" ht="15.75" x14ac:dyDescent="0.25">
      <c r="A144" s="266" t="s">
        <v>24</v>
      </c>
      <c r="B144" s="267"/>
      <c r="C144" s="320" t="s">
        <v>83</v>
      </c>
      <c r="D144" s="262"/>
      <c r="E144" s="262"/>
      <c r="F144" s="262"/>
      <c r="G144" s="262"/>
    </row>
    <row r="145" spans="1:18" ht="15.75" x14ac:dyDescent="0.25">
      <c r="A145" s="266" t="s">
        <v>106</v>
      </c>
      <c r="B145" s="263"/>
    </row>
    <row r="146" spans="1:18" x14ac:dyDescent="0.2">
      <c r="B146" s="263"/>
      <c r="C146" s="268"/>
      <c r="D146" s="268"/>
    </row>
    <row r="147" spans="1:18" x14ac:dyDescent="0.2">
      <c r="B147" s="263"/>
      <c r="C147" s="269"/>
      <c r="D147" s="269"/>
    </row>
    <row r="148" spans="1:18" ht="15.75" x14ac:dyDescent="0.25">
      <c r="A148" s="264" t="s">
        <v>27</v>
      </c>
      <c r="B148" s="263"/>
      <c r="C148" s="343">
        <v>703</v>
      </c>
      <c r="D148" s="270" t="s">
        <v>79</v>
      </c>
      <c r="E148" s="271"/>
    </row>
    <row r="149" spans="1:18" ht="15.75" x14ac:dyDescent="0.25">
      <c r="A149" s="264" t="s">
        <v>28</v>
      </c>
      <c r="B149" s="263"/>
      <c r="C149" s="343">
        <f>C148*0.06</f>
        <v>42.18</v>
      </c>
      <c r="D149" s="268"/>
      <c r="E149" s="271"/>
    </row>
    <row r="150" spans="1:18" ht="15.75" x14ac:dyDescent="0.25">
      <c r="A150" s="264" t="s">
        <v>29</v>
      </c>
      <c r="B150" s="263"/>
      <c r="C150" s="343">
        <f>C148/3*0.2</f>
        <v>46.866666666666674</v>
      </c>
      <c r="D150" s="270"/>
      <c r="E150" s="271"/>
    </row>
    <row r="151" spans="1:18" ht="15.75" x14ac:dyDescent="0.25">
      <c r="B151" s="263" t="s">
        <v>30</v>
      </c>
      <c r="C151" s="343">
        <v>1</v>
      </c>
      <c r="D151" s="268"/>
      <c r="E151" s="271"/>
    </row>
    <row r="152" spans="1:18" x14ac:dyDescent="0.2">
      <c r="B152" s="263"/>
    </row>
    <row r="153" spans="1:18" x14ac:dyDescent="0.2">
      <c r="A153" s="271" t="s">
        <v>84</v>
      </c>
      <c r="B153" s="272"/>
      <c r="D153" s="273"/>
      <c r="F153" s="344">
        <v>63555</v>
      </c>
      <c r="I153" s="265"/>
    </row>
    <row r="154" spans="1:18" x14ac:dyDescent="0.2">
      <c r="A154" s="271" t="s">
        <v>85</v>
      </c>
      <c r="B154" s="272"/>
      <c r="D154" s="273"/>
      <c r="F154" s="344">
        <v>69911</v>
      </c>
      <c r="I154" s="265"/>
    </row>
    <row r="155" spans="1:18" x14ac:dyDescent="0.2">
      <c r="A155" s="271" t="s">
        <v>86</v>
      </c>
      <c r="B155" s="272"/>
      <c r="D155" s="273"/>
      <c r="F155" s="344">
        <v>42470</v>
      </c>
      <c r="I155" s="265"/>
    </row>
    <row r="156" spans="1:18" x14ac:dyDescent="0.2">
      <c r="A156" s="271"/>
      <c r="B156" s="272"/>
      <c r="C156" s="274"/>
      <c r="D156" s="274"/>
      <c r="I156" s="265"/>
    </row>
    <row r="157" spans="1:18" ht="15.75" x14ac:dyDescent="0.25">
      <c r="B157" s="263"/>
      <c r="J157" s="275" t="s">
        <v>34</v>
      </c>
      <c r="K157" s="419" t="s">
        <v>35</v>
      </c>
      <c r="L157" s="420"/>
    </row>
    <row r="158" spans="1:18" ht="56.25" customHeight="1" x14ac:dyDescent="0.25">
      <c r="A158" s="266" t="s">
        <v>36</v>
      </c>
      <c r="B158" s="276"/>
      <c r="C158" s="277" t="s">
        <v>80</v>
      </c>
      <c r="D158" s="278"/>
      <c r="E158" s="275" t="s">
        <v>38</v>
      </c>
      <c r="F158" s="275" t="s">
        <v>39</v>
      </c>
      <c r="G158" s="275" t="s">
        <v>40</v>
      </c>
      <c r="H158" s="279" t="s">
        <v>0</v>
      </c>
      <c r="I158" s="280"/>
      <c r="J158" s="277" t="s">
        <v>41</v>
      </c>
      <c r="K158" s="281" t="s">
        <v>42</v>
      </c>
      <c r="L158" s="275" t="s">
        <v>43</v>
      </c>
    </row>
    <row r="159" spans="1:18" ht="15.75" x14ac:dyDescent="0.25">
      <c r="A159" s="282"/>
      <c r="B159" s="276"/>
      <c r="C159" s="283"/>
      <c r="D159" s="278"/>
      <c r="E159" s="284"/>
      <c r="F159" s="285"/>
      <c r="G159" s="285"/>
      <c r="H159" s="286"/>
      <c r="I159" s="280"/>
      <c r="J159" s="287"/>
      <c r="K159" s="288"/>
      <c r="L159" s="289"/>
      <c r="R159" s="264" t="s">
        <v>200</v>
      </c>
    </row>
    <row r="160" spans="1:18" x14ac:dyDescent="0.2">
      <c r="A160" s="264">
        <v>1</v>
      </c>
      <c r="B160" s="263" t="s">
        <v>44</v>
      </c>
      <c r="C160" s="290">
        <v>50000</v>
      </c>
      <c r="D160" s="265"/>
      <c r="E160" s="291"/>
      <c r="F160" s="292"/>
      <c r="G160" s="292">
        <f>+C160</f>
        <v>50000</v>
      </c>
      <c r="H160" s="293">
        <f>SUM(F160+G160)</f>
        <v>50000</v>
      </c>
      <c r="I160" s="265"/>
      <c r="J160" s="294">
        <f>+H160</f>
        <v>50000</v>
      </c>
      <c r="K160" s="292"/>
      <c r="L160" s="293"/>
    </row>
    <row r="161" spans="1:12" x14ac:dyDescent="0.2">
      <c r="B161" s="263"/>
      <c r="C161" s="290"/>
      <c r="D161" s="265"/>
      <c r="E161" s="291"/>
      <c r="F161" s="292"/>
      <c r="G161" s="292"/>
      <c r="H161" s="293"/>
      <c r="I161" s="265"/>
      <c r="J161" s="294"/>
      <c r="K161" s="292"/>
      <c r="L161" s="293"/>
    </row>
    <row r="162" spans="1:12" x14ac:dyDescent="0.2">
      <c r="A162" s="264">
        <v>2</v>
      </c>
      <c r="B162" s="263" t="s">
        <v>45</v>
      </c>
      <c r="C162" s="290">
        <v>89606</v>
      </c>
      <c r="D162" s="265"/>
      <c r="E162" s="291">
        <v>1</v>
      </c>
      <c r="F162" s="292">
        <f>+C162*E162</f>
        <v>89606</v>
      </c>
      <c r="G162" s="292"/>
      <c r="H162" s="293">
        <f>SUM(F162+G162)</f>
        <v>89606</v>
      </c>
      <c r="I162" s="265"/>
      <c r="J162" s="294">
        <f>+H162</f>
        <v>89606</v>
      </c>
      <c r="K162" s="292"/>
      <c r="L162" s="293"/>
    </row>
    <row r="163" spans="1:12" x14ac:dyDescent="0.2">
      <c r="B163" s="263"/>
      <c r="C163" s="290"/>
      <c r="D163" s="265"/>
      <c r="E163" s="291"/>
      <c r="F163" s="292"/>
      <c r="G163" s="292"/>
      <c r="H163" s="293"/>
      <c r="I163" s="265"/>
      <c r="J163" s="294"/>
      <c r="K163" s="292"/>
      <c r="L163" s="293"/>
    </row>
    <row r="164" spans="1:12" x14ac:dyDescent="0.2">
      <c r="A164" s="264">
        <v>3</v>
      </c>
      <c r="B164" s="301" t="s">
        <v>176</v>
      </c>
      <c r="C164" s="290">
        <v>69911</v>
      </c>
      <c r="D164" s="265"/>
      <c r="E164" s="291">
        <v>1</v>
      </c>
      <c r="F164" s="292">
        <f>+C164*E164</f>
        <v>69911</v>
      </c>
      <c r="G164" s="292"/>
      <c r="H164" s="293">
        <f>SUM(F164+G164)</f>
        <v>69911</v>
      </c>
      <c r="I164" s="265"/>
      <c r="J164" s="294"/>
      <c r="K164" s="292"/>
      <c r="L164" s="293">
        <f>$H$92</f>
        <v>69911</v>
      </c>
    </row>
    <row r="165" spans="1:12" x14ac:dyDescent="0.2">
      <c r="B165" s="263"/>
      <c r="C165" s="290"/>
      <c r="D165" s="265"/>
      <c r="E165" s="291"/>
      <c r="F165" s="292"/>
      <c r="G165" s="292"/>
      <c r="H165" s="293"/>
      <c r="I165" s="265"/>
      <c r="J165" s="294"/>
      <c r="K165" s="292"/>
      <c r="L165" s="293"/>
    </row>
    <row r="166" spans="1:12" x14ac:dyDescent="0.2">
      <c r="A166" s="264">
        <v>4</v>
      </c>
      <c r="B166" s="263" t="s">
        <v>46</v>
      </c>
      <c r="C166" s="290">
        <v>45865</v>
      </c>
      <c r="D166" s="265"/>
      <c r="E166" s="291">
        <v>1</v>
      </c>
      <c r="F166" s="292">
        <f>+C166*E166</f>
        <v>45865</v>
      </c>
      <c r="G166" s="292"/>
      <c r="H166" s="293">
        <f>SUM(F166+G166)</f>
        <v>45865</v>
      </c>
      <c r="I166" s="265"/>
      <c r="J166" s="294">
        <f>+H166</f>
        <v>45865</v>
      </c>
      <c r="K166" s="292"/>
      <c r="L166" s="293"/>
    </row>
    <row r="167" spans="1:12" x14ac:dyDescent="0.2">
      <c r="B167" s="263"/>
      <c r="C167" s="290"/>
      <c r="D167" s="265"/>
      <c r="E167" s="291"/>
      <c r="F167" s="292"/>
      <c r="G167" s="292"/>
      <c r="H167" s="293"/>
      <c r="I167" s="265"/>
      <c r="J167" s="294"/>
      <c r="K167" s="292"/>
      <c r="L167" s="293"/>
    </row>
    <row r="168" spans="1:12" x14ac:dyDescent="0.2">
      <c r="A168" s="264">
        <v>5</v>
      </c>
      <c r="B168" s="263" t="s">
        <v>47</v>
      </c>
      <c r="C168" s="290">
        <v>42470</v>
      </c>
      <c r="D168" s="265"/>
      <c r="E168" s="291">
        <v>1</v>
      </c>
      <c r="F168" s="292">
        <f>+C168*E168</f>
        <v>42470</v>
      </c>
      <c r="G168" s="292"/>
      <c r="H168" s="293">
        <f>SUM(F168+G168)</f>
        <v>42470</v>
      </c>
      <c r="I168" s="265"/>
      <c r="J168" s="294">
        <f>+H168</f>
        <v>42470</v>
      </c>
      <c r="K168" s="292"/>
      <c r="L168" s="293"/>
    </row>
    <row r="169" spans="1:12" x14ac:dyDescent="0.2">
      <c r="B169" s="263"/>
      <c r="C169" s="290"/>
      <c r="D169" s="265"/>
      <c r="E169" s="291"/>
      <c r="F169" s="292"/>
      <c r="G169" s="292"/>
      <c r="H169" s="293"/>
      <c r="I169" s="265"/>
      <c r="J169" s="294"/>
      <c r="K169" s="292"/>
      <c r="L169" s="293"/>
    </row>
    <row r="170" spans="1:12" x14ac:dyDescent="0.2">
      <c r="A170" s="264">
        <v>6</v>
      </c>
      <c r="B170" s="263" t="s">
        <v>113</v>
      </c>
      <c r="C170" s="290">
        <v>57775</v>
      </c>
      <c r="D170" s="265"/>
      <c r="E170" s="291">
        <v>1</v>
      </c>
      <c r="F170" s="292">
        <f>+C170*E170</f>
        <v>57775</v>
      </c>
      <c r="G170" s="292"/>
      <c r="H170" s="293">
        <f>SUM(F170+G170)</f>
        <v>57775</v>
      </c>
      <c r="I170" s="265"/>
      <c r="J170" s="294">
        <f>+H170</f>
        <v>57775</v>
      </c>
      <c r="K170" s="292"/>
      <c r="L170" s="293"/>
    </row>
    <row r="171" spans="1:12" x14ac:dyDescent="0.2">
      <c r="B171" s="263"/>
      <c r="C171" s="290"/>
      <c r="D171" s="265"/>
      <c r="E171" s="291"/>
      <c r="F171" s="292"/>
      <c r="G171" s="292"/>
      <c r="H171" s="293"/>
      <c r="I171" s="265"/>
      <c r="J171" s="294"/>
      <c r="K171" s="292"/>
      <c r="L171" s="293"/>
    </row>
    <row r="172" spans="1:12" x14ac:dyDescent="0.2">
      <c r="A172" s="264">
        <v>7</v>
      </c>
      <c r="B172" s="263" t="s">
        <v>151</v>
      </c>
      <c r="C172" s="273">
        <v>42470</v>
      </c>
      <c r="D172" s="265"/>
      <c r="E172" s="322">
        <f>ROUND(C149/100,0)</f>
        <v>0</v>
      </c>
      <c r="F172" s="292">
        <f>SUM(E172*C172)</f>
        <v>0</v>
      </c>
      <c r="G172" s="292"/>
      <c r="H172" s="293">
        <f>SUM(F172+G172)</f>
        <v>0</v>
      </c>
      <c r="I172" s="265"/>
      <c r="J172" s="293">
        <f>SUM(H172+I172)</f>
        <v>0</v>
      </c>
      <c r="K172" s="296"/>
      <c r="L172" s="297"/>
    </row>
    <row r="173" spans="1:12" x14ac:dyDescent="0.2">
      <c r="B173" s="263"/>
      <c r="C173" s="290"/>
      <c r="D173" s="265"/>
      <c r="E173" s="291"/>
      <c r="F173" s="292"/>
      <c r="G173" s="292"/>
      <c r="H173" s="293"/>
      <c r="I173" s="265"/>
      <c r="J173" s="294"/>
      <c r="K173" s="292"/>
      <c r="L173" s="293"/>
    </row>
    <row r="174" spans="1:12" x14ac:dyDescent="0.2">
      <c r="B174" s="263" t="s">
        <v>199</v>
      </c>
      <c r="C174" s="290"/>
      <c r="D174" s="265"/>
      <c r="E174" s="291"/>
      <c r="F174" s="292"/>
      <c r="G174" s="292">
        <v>10200</v>
      </c>
      <c r="H174" s="293">
        <v>10200</v>
      </c>
      <c r="I174" s="265"/>
      <c r="J174" s="292">
        <v>10200</v>
      </c>
      <c r="K174" s="292"/>
      <c r="L174" s="293"/>
    </row>
    <row r="175" spans="1:12" x14ac:dyDescent="0.2">
      <c r="B175" s="263"/>
      <c r="C175" s="290"/>
      <c r="D175" s="265"/>
      <c r="E175" s="291"/>
      <c r="F175" s="292"/>
      <c r="G175" s="292"/>
      <c r="H175" s="293"/>
      <c r="I175" s="265"/>
      <c r="J175" s="294"/>
      <c r="K175" s="292"/>
      <c r="L175" s="293"/>
    </row>
    <row r="176" spans="1:12" x14ac:dyDescent="0.2">
      <c r="A176" s="264">
        <v>8</v>
      </c>
      <c r="B176" s="263" t="s">
        <v>50</v>
      </c>
      <c r="C176" s="290">
        <v>15000</v>
      </c>
      <c r="D176" s="265"/>
      <c r="E176" s="291"/>
      <c r="F176" s="292"/>
      <c r="G176" s="292">
        <f>+C176</f>
        <v>15000</v>
      </c>
      <c r="H176" s="293">
        <f>SUM(F176+G176)</f>
        <v>15000</v>
      </c>
      <c r="I176" s="265"/>
      <c r="J176" s="323">
        <f>+H176</f>
        <v>15000</v>
      </c>
      <c r="K176" s="292"/>
      <c r="L176" s="293"/>
    </row>
    <row r="177" spans="1:12" x14ac:dyDescent="0.2">
      <c r="B177" s="263"/>
      <c r="C177" s="290"/>
      <c r="D177" s="265"/>
      <c r="E177" s="291"/>
      <c r="F177" s="292"/>
      <c r="G177" s="292"/>
      <c r="H177" s="293"/>
      <c r="I177" s="265"/>
      <c r="J177" s="323"/>
      <c r="K177" s="292"/>
      <c r="L177" s="293"/>
    </row>
    <row r="178" spans="1:12" x14ac:dyDescent="0.2">
      <c r="A178" s="264">
        <v>9</v>
      </c>
      <c r="B178" s="263" t="s">
        <v>51</v>
      </c>
      <c r="C178" s="290">
        <v>30000</v>
      </c>
      <c r="D178" s="265"/>
      <c r="E178" s="291"/>
      <c r="F178" s="292"/>
      <c r="G178" s="292">
        <f>+C178</f>
        <v>30000</v>
      </c>
      <c r="H178" s="293">
        <f>SUM(F178+G178)</f>
        <v>30000</v>
      </c>
      <c r="I178" s="265"/>
      <c r="J178" s="323">
        <f>+H178</f>
        <v>30000</v>
      </c>
      <c r="K178" s="292"/>
      <c r="L178" s="293"/>
    </row>
    <row r="179" spans="1:12" x14ac:dyDescent="0.2">
      <c r="B179" s="263"/>
      <c r="C179" s="290"/>
      <c r="D179" s="265"/>
      <c r="E179" s="291"/>
      <c r="F179" s="292"/>
      <c r="G179" s="292"/>
      <c r="H179" s="293"/>
      <c r="I179" s="265"/>
      <c r="J179" s="323"/>
      <c r="K179" s="292"/>
      <c r="L179" s="293"/>
    </row>
    <row r="180" spans="1:12" x14ac:dyDescent="0.2">
      <c r="A180" s="264">
        <v>10</v>
      </c>
      <c r="B180" s="263" t="s">
        <v>52</v>
      </c>
      <c r="C180" s="290">
        <v>40000</v>
      </c>
      <c r="D180" s="265"/>
      <c r="E180" s="291"/>
      <c r="F180" s="292"/>
      <c r="G180" s="292">
        <f>+C180</f>
        <v>40000</v>
      </c>
      <c r="H180" s="293">
        <f>SUM(F180+G180)</f>
        <v>40000</v>
      </c>
      <c r="I180" s="265"/>
      <c r="J180" s="323">
        <f>+H180</f>
        <v>40000</v>
      </c>
      <c r="K180" s="292"/>
      <c r="L180" s="293"/>
    </row>
    <row r="181" spans="1:12" x14ac:dyDescent="0.2">
      <c r="B181" s="263"/>
      <c r="C181" s="290"/>
      <c r="D181" s="265"/>
      <c r="E181" s="291"/>
      <c r="F181" s="292"/>
      <c r="G181" s="292"/>
      <c r="H181" s="293"/>
      <c r="I181" s="265"/>
      <c r="J181" s="294"/>
      <c r="K181" s="292"/>
      <c r="L181" s="293"/>
    </row>
    <row r="182" spans="1:12" x14ac:dyDescent="0.2">
      <c r="A182" s="264">
        <v>11</v>
      </c>
      <c r="B182" s="263" t="s">
        <v>53</v>
      </c>
      <c r="C182" s="290"/>
      <c r="D182" s="265"/>
      <c r="E182" s="291"/>
      <c r="F182" s="292"/>
      <c r="G182" s="292">
        <f>ROUND((F162+F164+F166+F168+F170+F184+F188+F190+F195+F197+F199+F201+F172+F203+F192)*0.15,0)</f>
        <v>188306</v>
      </c>
      <c r="H182" s="293">
        <f>SUM(G182)</f>
        <v>188306</v>
      </c>
      <c r="I182" s="265"/>
      <c r="J182" s="323">
        <f>ROUND((SUM(F162:F172)*0.15),0)</f>
        <v>45844</v>
      </c>
      <c r="K182" s="324">
        <f>ROUND(SUM(F184:F199,F201)*0.15,0)</f>
        <v>123396</v>
      </c>
      <c r="L182" s="325">
        <f>ROUND(F203*0.15,0)</f>
        <v>19067</v>
      </c>
    </row>
    <row r="183" spans="1:12" x14ac:dyDescent="0.2">
      <c r="B183" s="263"/>
      <c r="C183" s="290"/>
      <c r="D183" s="265"/>
      <c r="E183" s="291"/>
      <c r="F183" s="292"/>
      <c r="G183" s="292"/>
      <c r="H183" s="293"/>
      <c r="I183" s="265"/>
      <c r="J183" s="294"/>
      <c r="K183" s="296"/>
      <c r="L183" s="297"/>
    </row>
    <row r="184" spans="1:12" x14ac:dyDescent="0.2">
      <c r="A184" s="264">
        <v>12</v>
      </c>
      <c r="B184" s="263" t="s">
        <v>54</v>
      </c>
      <c r="C184" s="290"/>
      <c r="D184" s="265"/>
      <c r="E184" s="291"/>
      <c r="F184" s="292">
        <f>(F162+F164+F166+F168+F188+F170+F190++F195+F197+F199+F203+F172+F201+F192)*0.2045</f>
        <v>213137.81414999999</v>
      </c>
      <c r="G184" s="292"/>
      <c r="H184" s="293">
        <f>(F162+F164+F166+F168+F170+F188+F190+F195+F197+F199+F203+F172+F201+F192)*0.2045</f>
        <v>213137.81414999999</v>
      </c>
      <c r="I184" s="265"/>
      <c r="J184" s="323">
        <f>ROUND((SUM(F162:F172)*0.2045),0)</f>
        <v>62501</v>
      </c>
      <c r="K184" s="324">
        <f>ROUND((SUM(F188:F201)*0.2045),0)</f>
        <v>124643</v>
      </c>
      <c r="L184" s="325">
        <f>ROUND(F203*0.2045,0)</f>
        <v>25994</v>
      </c>
    </row>
    <row r="185" spans="1:12" x14ac:dyDescent="0.2">
      <c r="B185" s="263"/>
      <c r="C185" s="290"/>
      <c r="D185" s="265"/>
      <c r="E185" s="291"/>
      <c r="F185" s="292"/>
      <c r="G185" s="292"/>
      <c r="H185" s="293"/>
      <c r="I185" s="265"/>
      <c r="J185" s="294"/>
      <c r="K185" s="296"/>
      <c r="L185" s="297"/>
    </row>
    <row r="186" spans="1:12" x14ac:dyDescent="0.2">
      <c r="A186" s="264">
        <v>13</v>
      </c>
      <c r="B186" s="263" t="s">
        <v>55</v>
      </c>
      <c r="C186" s="290">
        <v>2000</v>
      </c>
      <c r="D186" s="265"/>
      <c r="E186" s="291"/>
      <c r="F186" s="292"/>
      <c r="G186" s="292">
        <f>E211*2000</f>
        <v>32000</v>
      </c>
      <c r="H186" s="293">
        <f t="shared" ref="H186" si="10">SUM(F186+G186)</f>
        <v>32000</v>
      </c>
      <c r="I186" s="265"/>
      <c r="J186" s="294">
        <f>(E162+E164+E166+E168+E170+E172)*2000</f>
        <v>10000</v>
      </c>
      <c r="K186" s="296">
        <f>ROUND(SUM(E190,E195,E197,E199,E201,E192)*2000,0)</f>
        <v>18000</v>
      </c>
      <c r="L186" s="297">
        <f>ROUND(E203*2000,0)</f>
        <v>4000</v>
      </c>
    </row>
    <row r="187" spans="1:12" x14ac:dyDescent="0.2">
      <c r="B187" s="263"/>
      <c r="C187" s="290"/>
      <c r="D187" s="265"/>
      <c r="E187" s="291"/>
      <c r="F187" s="292"/>
      <c r="G187" s="292"/>
      <c r="H187" s="293"/>
      <c r="I187" s="265"/>
      <c r="J187" s="294"/>
      <c r="K187" s="296"/>
      <c r="L187" s="297"/>
    </row>
    <row r="188" spans="1:12" ht="36.75" customHeight="1" x14ac:dyDescent="0.2">
      <c r="A188" s="264">
        <v>14</v>
      </c>
      <c r="B188" s="263" t="s">
        <v>114</v>
      </c>
      <c r="C188" s="290"/>
      <c r="D188" s="265"/>
      <c r="E188" s="291"/>
      <c r="F188" s="292">
        <f>(F195+F199+F201+F190+F192+F203+F197)*0.1</f>
        <v>66964.7</v>
      </c>
      <c r="G188" s="292"/>
      <c r="H188" s="293">
        <f>SUM(F188+G188)</f>
        <v>66964.7</v>
      </c>
      <c r="I188" s="265"/>
      <c r="J188" s="294"/>
      <c r="K188" s="296">
        <f>ROUND((+F190+F195+F199+F201+F192+F197)*0.1,0)</f>
        <v>54254</v>
      </c>
      <c r="L188" s="297">
        <f>ROUND(F203*0.1,0)</f>
        <v>12711</v>
      </c>
    </row>
    <row r="189" spans="1:12" x14ac:dyDescent="0.2">
      <c r="B189" s="263"/>
      <c r="C189" s="290"/>
      <c r="D189" s="265"/>
      <c r="E189" s="291"/>
      <c r="F189" s="292"/>
      <c r="G189" s="292"/>
      <c r="H189" s="293"/>
      <c r="I189" s="265"/>
      <c r="J189" s="294"/>
      <c r="K189" s="292"/>
      <c r="L189" s="293"/>
    </row>
    <row r="190" spans="1:12" x14ac:dyDescent="0.2">
      <c r="A190" s="264">
        <v>15</v>
      </c>
      <c r="B190" s="263" t="s">
        <v>57</v>
      </c>
      <c r="C190" s="290">
        <v>69911</v>
      </c>
      <c r="D190" s="265"/>
      <c r="E190" s="326">
        <f>ROUND((E203+E199+E197+E195+E201+E192)/6,0)</f>
        <v>2</v>
      </c>
      <c r="F190" s="292">
        <f>F154*E190</f>
        <v>139822</v>
      </c>
      <c r="G190" s="292"/>
      <c r="H190" s="293">
        <f t="shared" ref="H190" si="11">SUM(F190+G190)</f>
        <v>139822</v>
      </c>
      <c r="I190" s="265"/>
      <c r="J190" s="291"/>
      <c r="K190" s="296">
        <f>ROUND(F190*((+E$49+E$51+E$53)/(E$49+E$51+E$53+E$55)),0)</f>
        <v>88077</v>
      </c>
      <c r="L190" s="297">
        <f>ROUND((+F190*(E$55/(+E$49+E$51+E$53+E$55))),0)</f>
        <v>51745</v>
      </c>
    </row>
    <row r="191" spans="1:12" x14ac:dyDescent="0.2">
      <c r="B191" s="263"/>
      <c r="C191" s="290"/>
      <c r="D191" s="265"/>
      <c r="E191" s="291"/>
      <c r="F191" s="292"/>
      <c r="G191" s="292"/>
      <c r="H191" s="293"/>
      <c r="I191" s="265"/>
      <c r="J191" s="294"/>
      <c r="K191" s="292"/>
      <c r="L191" s="293"/>
    </row>
    <row r="192" spans="1:12" x14ac:dyDescent="0.2">
      <c r="A192" s="301">
        <v>16</v>
      </c>
      <c r="B192" s="301" t="s">
        <v>160</v>
      </c>
      <c r="C192" s="290">
        <v>42470</v>
      </c>
      <c r="D192" s="265"/>
      <c r="E192" s="326">
        <f>ROUNDUP((E203+E199+E197+E195+E201)/6,0)</f>
        <v>2</v>
      </c>
      <c r="F192" s="327">
        <f>F155*E192</f>
        <v>84940</v>
      </c>
      <c r="H192" s="293">
        <f t="shared" ref="H192" si="12">SUM(F192+G192)</f>
        <v>84940</v>
      </c>
      <c r="I192" s="265"/>
      <c r="J192" s="294"/>
      <c r="K192" s="296">
        <f>ROUND(F192*((+E$49+E$51+E$53)/(E$49+E$51+E$53+E$55)),0)</f>
        <v>53506</v>
      </c>
      <c r="L192" s="297">
        <f>ROUND((+F192*(E$55/(+E$49+E$51+E$53+E$55))),0)</f>
        <v>31434</v>
      </c>
    </row>
    <row r="193" spans="1:12" x14ac:dyDescent="0.2">
      <c r="B193" s="263"/>
      <c r="C193" s="290"/>
      <c r="D193" s="265"/>
      <c r="E193" s="291"/>
      <c r="F193" s="292"/>
      <c r="G193" s="292"/>
      <c r="H193" s="293"/>
      <c r="I193" s="265"/>
      <c r="J193" s="294"/>
      <c r="K193" s="292"/>
      <c r="L193" s="293"/>
    </row>
    <row r="194" spans="1:12" ht="15.75" x14ac:dyDescent="0.25">
      <c r="A194" s="282" t="s">
        <v>115</v>
      </c>
      <c r="B194" s="263"/>
      <c r="C194" s="290"/>
      <c r="D194" s="265"/>
      <c r="E194" s="291"/>
      <c r="F194" s="292"/>
      <c r="G194" s="292"/>
      <c r="H194" s="293"/>
      <c r="I194" s="265"/>
      <c r="J194" s="294"/>
      <c r="K194" s="292"/>
      <c r="L194" s="293"/>
    </row>
    <row r="195" spans="1:12" x14ac:dyDescent="0.2">
      <c r="A195" s="300">
        <v>17</v>
      </c>
      <c r="B195" s="301" t="s">
        <v>60</v>
      </c>
      <c r="C195" s="302">
        <v>63555</v>
      </c>
      <c r="D195" s="303"/>
      <c r="E195" s="304">
        <f>ROUND(C149/30,0)</f>
        <v>1</v>
      </c>
      <c r="F195" s="305">
        <f>F153*E195</f>
        <v>63555</v>
      </c>
      <c r="G195" s="305"/>
      <c r="H195" s="293">
        <f t="shared" ref="H195" si="13">SUM(F195+G195)</f>
        <v>63555</v>
      </c>
      <c r="I195" s="303"/>
      <c r="J195" s="306"/>
      <c r="K195" s="292">
        <f>SUM(E195*F153)</f>
        <v>63555</v>
      </c>
      <c r="L195" s="293"/>
    </row>
    <row r="196" spans="1:12" x14ac:dyDescent="0.2">
      <c r="A196" s="301"/>
      <c r="B196" s="301"/>
      <c r="C196" s="290"/>
      <c r="D196" s="265"/>
      <c r="E196" s="291"/>
      <c r="F196" s="292"/>
      <c r="G196" s="292"/>
      <c r="H196" s="293"/>
      <c r="I196" s="265"/>
      <c r="J196" s="294"/>
      <c r="K196" s="292"/>
      <c r="L196" s="293"/>
    </row>
    <row r="197" spans="1:12" ht="30" x14ac:dyDescent="0.2">
      <c r="A197" s="300">
        <v>18</v>
      </c>
      <c r="B197" s="301" t="s">
        <v>61</v>
      </c>
      <c r="C197" s="290">
        <v>63555</v>
      </c>
      <c r="D197" s="265"/>
      <c r="E197" s="291">
        <f>1</f>
        <v>1</v>
      </c>
      <c r="F197" s="292">
        <f>F153*E197</f>
        <v>63555</v>
      </c>
      <c r="G197" s="292"/>
      <c r="H197" s="293">
        <f t="shared" ref="H197" si="14">SUM(F197+G197)</f>
        <v>63555</v>
      </c>
      <c r="I197" s="265"/>
      <c r="J197" s="294" t="s">
        <v>62</v>
      </c>
      <c r="K197" s="292">
        <f>SUM(E197*F153)</f>
        <v>63555</v>
      </c>
      <c r="L197" s="293"/>
    </row>
    <row r="198" spans="1:12" x14ac:dyDescent="0.2">
      <c r="A198" s="301"/>
      <c r="B198" s="301"/>
      <c r="C198" s="290"/>
      <c r="D198" s="265"/>
      <c r="E198" s="291"/>
      <c r="F198" s="292"/>
      <c r="G198" s="292"/>
      <c r="H198" s="293"/>
      <c r="I198" s="265"/>
      <c r="J198" s="294"/>
      <c r="K198" s="292"/>
      <c r="L198" s="293"/>
    </row>
    <row r="199" spans="1:12" x14ac:dyDescent="0.2">
      <c r="A199" s="301">
        <v>19</v>
      </c>
      <c r="B199" s="301" t="s">
        <v>63</v>
      </c>
      <c r="C199" s="290">
        <v>63555</v>
      </c>
      <c r="D199" s="265"/>
      <c r="E199" s="291">
        <f>ROUND(C149/20,0)</f>
        <v>2</v>
      </c>
      <c r="F199" s="292">
        <f>F153*E199</f>
        <v>127110</v>
      </c>
      <c r="G199" s="292"/>
      <c r="H199" s="293">
        <f t="shared" ref="H199" si="15">SUM(F199+G199)</f>
        <v>127110</v>
      </c>
      <c r="I199" s="265"/>
      <c r="J199" s="294"/>
      <c r="K199" s="292">
        <f>SUM(E199*F153)</f>
        <v>127110</v>
      </c>
      <c r="L199" s="293"/>
    </row>
    <row r="200" spans="1:12" x14ac:dyDescent="0.2">
      <c r="A200" s="301"/>
      <c r="B200" s="301"/>
      <c r="C200" s="290"/>
      <c r="D200" s="265"/>
      <c r="E200" s="291"/>
      <c r="F200" s="292"/>
      <c r="G200" s="292"/>
      <c r="H200" s="293"/>
      <c r="I200" s="265"/>
      <c r="J200" s="294"/>
      <c r="K200" s="292"/>
      <c r="L200" s="293"/>
    </row>
    <row r="201" spans="1:12" x14ac:dyDescent="0.2">
      <c r="A201" s="301">
        <v>20</v>
      </c>
      <c r="B201" s="301" t="s">
        <v>111</v>
      </c>
      <c r="C201" s="290">
        <v>63555</v>
      </c>
      <c r="D201" s="265"/>
      <c r="E201" s="328">
        <f>ROUNDDOWN(C150/40,0)</f>
        <v>1</v>
      </c>
      <c r="F201" s="292">
        <f>F153*E201</f>
        <v>63555</v>
      </c>
      <c r="G201" s="292"/>
      <c r="H201" s="293">
        <f t="shared" ref="H201" si="16">SUM(F201+G201)</f>
        <v>63555</v>
      </c>
      <c r="I201" s="290"/>
      <c r="K201" s="265">
        <f>SUM(E201*F153)</f>
        <v>63555</v>
      </c>
      <c r="L201" s="329"/>
    </row>
    <row r="202" spans="1:12" x14ac:dyDescent="0.2">
      <c r="A202" s="301"/>
      <c r="B202" s="301"/>
      <c r="C202" s="290"/>
      <c r="D202" s="265"/>
      <c r="E202" s="291"/>
      <c r="F202" s="292"/>
      <c r="G202" s="292"/>
      <c r="H202" s="293"/>
      <c r="I202" s="290"/>
      <c r="L202" s="329"/>
    </row>
    <row r="203" spans="1:12" x14ac:dyDescent="0.2">
      <c r="A203" s="301">
        <v>21</v>
      </c>
      <c r="B203" s="301" t="s">
        <v>112</v>
      </c>
      <c r="C203" s="290">
        <v>63555</v>
      </c>
      <c r="D203" s="265"/>
      <c r="E203" s="328">
        <f>ROUND(C150/20,0)</f>
        <v>2</v>
      </c>
      <c r="F203" s="292">
        <f>SUM(E203*F153)</f>
        <v>127110</v>
      </c>
      <c r="H203" s="293">
        <f t="shared" ref="H203" si="17">SUM(F203+G203)</f>
        <v>127110</v>
      </c>
      <c r="I203" s="290"/>
      <c r="K203" s="265"/>
      <c r="L203" s="293">
        <f>SUM(H203)</f>
        <v>127110</v>
      </c>
    </row>
    <row r="204" spans="1:12" x14ac:dyDescent="0.2">
      <c r="A204" s="301"/>
      <c r="B204" s="301"/>
      <c r="C204" s="290"/>
      <c r="D204" s="265"/>
      <c r="E204" s="291"/>
      <c r="F204" s="292"/>
      <c r="H204" s="293"/>
      <c r="I204" s="290"/>
      <c r="L204" s="329"/>
    </row>
    <row r="205" spans="1:12" s="321" customFormat="1" x14ac:dyDescent="0.2">
      <c r="A205" s="301">
        <v>22</v>
      </c>
      <c r="B205" s="301" t="s">
        <v>155</v>
      </c>
      <c r="C205" s="295"/>
      <c r="D205" s="307"/>
      <c r="E205" s="291"/>
      <c r="F205" s="292"/>
      <c r="G205" s="292">
        <f>ROUND(175*C148,0)</f>
        <v>123025</v>
      </c>
      <c r="H205" s="293">
        <f t="shared" ref="H205" si="18">SUM(F205+G205)</f>
        <v>123025</v>
      </c>
      <c r="I205" s="265"/>
      <c r="J205" s="294" t="s">
        <v>62</v>
      </c>
      <c r="K205" s="292">
        <f>ROUND(175/2*C148,0)</f>
        <v>61513</v>
      </c>
      <c r="L205" s="293">
        <f>ROUND(175/2*C148,0)</f>
        <v>61513</v>
      </c>
    </row>
    <row r="206" spans="1:12" x14ac:dyDescent="0.2">
      <c r="A206" s="301"/>
      <c r="B206" s="301"/>
      <c r="C206" s="290"/>
      <c r="D206" s="265"/>
      <c r="E206" s="291"/>
      <c r="F206" s="292"/>
      <c r="G206" s="292"/>
      <c r="H206" s="293"/>
      <c r="I206" s="265"/>
      <c r="J206" s="294"/>
      <c r="K206" s="292"/>
      <c r="L206" s="293"/>
    </row>
    <row r="207" spans="1:12" s="321" customFormat="1" x14ac:dyDescent="0.2">
      <c r="A207" s="301">
        <v>23</v>
      </c>
      <c r="B207" s="301" t="s">
        <v>66</v>
      </c>
      <c r="C207" s="290">
        <v>11500</v>
      </c>
      <c r="D207" s="265"/>
      <c r="E207" s="291"/>
      <c r="F207" s="292"/>
      <c r="G207" s="292">
        <f>(E162+E190+E201+E195+E197+E199+E203+E192)*11500</f>
        <v>138000</v>
      </c>
      <c r="H207" s="293">
        <f>SUM(F207:G207)</f>
        <v>138000</v>
      </c>
      <c r="I207" s="265"/>
      <c r="J207" s="323">
        <f>ROUND(11500*E162,0)</f>
        <v>11500</v>
      </c>
      <c r="K207" s="296">
        <f>(ROUND(11500*(+E199+E197+E195+E201+E190+E192),0))</f>
        <v>103500</v>
      </c>
      <c r="L207" s="297">
        <f>ROUND(11500*E203,0)</f>
        <v>23000</v>
      </c>
    </row>
    <row r="208" spans="1:12" x14ac:dyDescent="0.2">
      <c r="A208" s="301"/>
      <c r="B208" s="301"/>
      <c r="C208" s="290"/>
      <c r="D208" s="265"/>
      <c r="E208" s="291"/>
      <c r="G208" s="292"/>
      <c r="H208" s="293"/>
      <c r="J208" s="294"/>
      <c r="K208" s="296"/>
      <c r="L208" s="297"/>
    </row>
    <row r="209" spans="1:12" x14ac:dyDescent="0.2">
      <c r="A209" s="301">
        <v>24</v>
      </c>
      <c r="B209" s="301" t="s">
        <v>82</v>
      </c>
      <c r="C209" s="290"/>
      <c r="D209" s="265"/>
      <c r="E209" s="291"/>
      <c r="G209" s="292">
        <v>10350</v>
      </c>
      <c r="H209" s="292">
        <v>10350</v>
      </c>
      <c r="I209" s="330"/>
      <c r="J209" s="292"/>
      <c r="K209" s="296"/>
      <c r="L209" s="297">
        <f>+H209</f>
        <v>10350</v>
      </c>
    </row>
    <row r="210" spans="1:12" ht="15.75" thickBot="1" x14ac:dyDescent="0.25">
      <c r="B210" s="331"/>
      <c r="C210" s="332"/>
      <c r="D210" s="265"/>
      <c r="E210" s="291"/>
      <c r="H210" s="293"/>
      <c r="I210" s="333"/>
      <c r="J210" s="265"/>
      <c r="L210" s="293"/>
    </row>
    <row r="211" spans="1:12" s="321" customFormat="1" ht="16.5" thickBot="1" x14ac:dyDescent="0.3">
      <c r="A211" s="264"/>
      <c r="B211" s="334" t="s">
        <v>67</v>
      </c>
      <c r="C211" s="335"/>
      <c r="D211" s="336"/>
      <c r="E211" s="337">
        <f>SUM(E159:E210)</f>
        <v>16</v>
      </c>
      <c r="F211" s="336">
        <f>SUM(F159:F209)</f>
        <v>1255376.5141499999</v>
      </c>
      <c r="G211" s="336">
        <f>SUM(G160:G209)</f>
        <v>636881</v>
      </c>
      <c r="H211" s="338">
        <f>SUM(H160:H210)</f>
        <v>1892257.5141499999</v>
      </c>
      <c r="I211" s="336"/>
      <c r="J211" s="339">
        <f>SUM(J160:J209)</f>
        <v>510761</v>
      </c>
      <c r="K211" s="336">
        <f>SUM(K160:K210)</f>
        <v>944664</v>
      </c>
      <c r="L211" s="340">
        <f>SUM(L159:L210)</f>
        <v>436835</v>
      </c>
    </row>
    <row r="212" spans="1:12" x14ac:dyDescent="0.2">
      <c r="C212" s="272"/>
      <c r="D212" s="272"/>
      <c r="G212" s="264" t="s">
        <v>206</v>
      </c>
      <c r="J212" s="345">
        <f>SUM(J211*0.875)</f>
        <v>446915.875</v>
      </c>
    </row>
    <row r="214" spans="1:12" x14ac:dyDescent="0.2">
      <c r="A214" s="262"/>
      <c r="B214" s="263"/>
    </row>
    <row r="215" spans="1:12" ht="15.75" x14ac:dyDescent="0.25">
      <c r="A215" s="266" t="s">
        <v>24</v>
      </c>
      <c r="B215" s="267"/>
      <c r="C215" s="320" t="s">
        <v>162</v>
      </c>
    </row>
    <row r="216" spans="1:12" ht="15.75" x14ac:dyDescent="0.25">
      <c r="A216" s="266" t="s">
        <v>106</v>
      </c>
      <c r="B216" s="263"/>
    </row>
    <row r="217" spans="1:12" x14ac:dyDescent="0.2">
      <c r="B217" s="263"/>
      <c r="C217" s="268"/>
      <c r="D217" s="268"/>
    </row>
    <row r="218" spans="1:12" x14ac:dyDescent="0.2">
      <c r="B218" s="263"/>
      <c r="C218" s="269"/>
      <c r="D218" s="269"/>
    </row>
    <row r="219" spans="1:12" ht="15.75" x14ac:dyDescent="0.25">
      <c r="A219" s="264" t="s">
        <v>27</v>
      </c>
      <c r="B219" s="263"/>
      <c r="C219" s="343">
        <v>1592</v>
      </c>
      <c r="D219" s="270" t="s">
        <v>79</v>
      </c>
      <c r="E219" s="271"/>
    </row>
    <row r="220" spans="1:12" ht="15.75" x14ac:dyDescent="0.25">
      <c r="A220" s="264" t="s">
        <v>28</v>
      </c>
      <c r="B220" s="263"/>
      <c r="C220" s="343">
        <f>C219*0.06</f>
        <v>95.52</v>
      </c>
      <c r="D220" s="268"/>
      <c r="E220" s="271"/>
    </row>
    <row r="221" spans="1:12" ht="15.75" x14ac:dyDescent="0.25">
      <c r="A221" s="264" t="s">
        <v>29</v>
      </c>
      <c r="B221" s="263"/>
      <c r="C221" s="343">
        <f>C219/3*0.2</f>
        <v>106.13333333333333</v>
      </c>
      <c r="D221" s="270"/>
      <c r="E221" s="271"/>
    </row>
    <row r="222" spans="1:12" ht="15.75" x14ac:dyDescent="0.25">
      <c r="B222" s="263" t="s">
        <v>30</v>
      </c>
      <c r="C222" s="343">
        <v>3</v>
      </c>
      <c r="D222" s="268"/>
      <c r="E222" s="271"/>
    </row>
    <row r="223" spans="1:12" x14ac:dyDescent="0.2">
      <c r="B223" s="263"/>
    </row>
    <row r="224" spans="1:12" x14ac:dyDescent="0.2">
      <c r="A224" s="271" t="s">
        <v>107</v>
      </c>
      <c r="B224" s="272"/>
      <c r="C224" s="321"/>
      <c r="D224" s="273"/>
      <c r="E224" s="321"/>
      <c r="F224" s="273">
        <v>63555</v>
      </c>
      <c r="I224" s="265"/>
    </row>
    <row r="225" spans="1:12" x14ac:dyDescent="0.2">
      <c r="A225" s="271" t="s">
        <v>108</v>
      </c>
      <c r="B225" s="272"/>
      <c r="C225" s="321"/>
      <c r="D225" s="273"/>
      <c r="E225" s="321"/>
      <c r="F225" s="273">
        <v>69911</v>
      </c>
      <c r="I225" s="265"/>
    </row>
    <row r="226" spans="1:12" x14ac:dyDescent="0.2">
      <c r="A226" s="271" t="s">
        <v>109</v>
      </c>
      <c r="B226" s="272"/>
      <c r="C226" s="321"/>
      <c r="D226" s="273"/>
      <c r="E226" s="321"/>
      <c r="F226" s="273">
        <v>42470</v>
      </c>
      <c r="I226" s="265"/>
    </row>
    <row r="227" spans="1:12" x14ac:dyDescent="0.2">
      <c r="A227" s="271"/>
      <c r="B227" s="272"/>
      <c r="C227" s="274"/>
      <c r="D227" s="274"/>
      <c r="I227" s="265"/>
    </row>
    <row r="228" spans="1:12" ht="15.75" x14ac:dyDescent="0.25">
      <c r="B228" s="263"/>
      <c r="J228" s="275" t="s">
        <v>34</v>
      </c>
      <c r="K228" s="419" t="s">
        <v>35</v>
      </c>
      <c r="L228" s="420"/>
    </row>
    <row r="229" spans="1:12" ht="15.75" x14ac:dyDescent="0.25">
      <c r="A229" s="266" t="s">
        <v>36</v>
      </c>
      <c r="B229" s="276"/>
      <c r="C229" s="277" t="s">
        <v>80</v>
      </c>
      <c r="D229" s="278"/>
      <c r="E229" s="275" t="s">
        <v>38</v>
      </c>
      <c r="F229" s="275" t="s">
        <v>39</v>
      </c>
      <c r="G229" s="275" t="s">
        <v>40</v>
      </c>
      <c r="H229" s="279" t="s">
        <v>0</v>
      </c>
      <c r="I229" s="280"/>
      <c r="J229" s="277" t="s">
        <v>41</v>
      </c>
      <c r="K229" s="281" t="s">
        <v>42</v>
      </c>
      <c r="L229" s="275" t="s">
        <v>43</v>
      </c>
    </row>
    <row r="230" spans="1:12" ht="15.75" x14ac:dyDescent="0.25">
      <c r="A230" s="282"/>
      <c r="B230" s="276"/>
      <c r="C230" s="283"/>
      <c r="D230" s="278"/>
      <c r="E230" s="284"/>
      <c r="F230" s="285"/>
      <c r="G230" s="285"/>
      <c r="H230" s="286"/>
      <c r="I230" s="280"/>
      <c r="J230" s="287"/>
      <c r="K230" s="288"/>
      <c r="L230" s="289"/>
    </row>
    <row r="231" spans="1:12" x14ac:dyDescent="0.2">
      <c r="A231" s="264">
        <v>1</v>
      </c>
      <c r="B231" s="263" t="s">
        <v>44</v>
      </c>
      <c r="C231" s="290">
        <v>50000</v>
      </c>
      <c r="D231" s="265"/>
      <c r="E231" s="291"/>
      <c r="F231" s="292"/>
      <c r="G231" s="292">
        <f>+C231</f>
        <v>50000</v>
      </c>
      <c r="H231" s="293">
        <f>SUM(F231+G231)</f>
        <v>50000</v>
      </c>
      <c r="I231" s="265"/>
      <c r="J231" s="294">
        <f>+H231</f>
        <v>50000</v>
      </c>
      <c r="K231" s="292"/>
      <c r="L231" s="293"/>
    </row>
    <row r="232" spans="1:12" x14ac:dyDescent="0.2">
      <c r="B232" s="263"/>
      <c r="C232" s="290"/>
      <c r="D232" s="265"/>
      <c r="E232" s="291"/>
      <c r="F232" s="292"/>
      <c r="G232" s="292"/>
      <c r="H232" s="293"/>
      <c r="I232" s="265"/>
      <c r="J232" s="294"/>
      <c r="K232" s="292"/>
      <c r="L232" s="293"/>
    </row>
    <row r="233" spans="1:12" x14ac:dyDescent="0.2">
      <c r="A233" s="264">
        <v>2</v>
      </c>
      <c r="B233" s="263" t="s">
        <v>45</v>
      </c>
      <c r="C233" s="290">
        <v>89606</v>
      </c>
      <c r="D233" s="265"/>
      <c r="E233" s="291">
        <v>1</v>
      </c>
      <c r="F233" s="292">
        <f>+C233*E233</f>
        <v>89606</v>
      </c>
      <c r="G233" s="292"/>
      <c r="H233" s="293">
        <f>SUM(F233+G233)</f>
        <v>89606</v>
      </c>
      <c r="I233" s="265"/>
      <c r="J233" s="294">
        <f>+H233</f>
        <v>89606</v>
      </c>
      <c r="K233" s="292"/>
      <c r="L233" s="293"/>
    </row>
    <row r="234" spans="1:12" x14ac:dyDescent="0.2">
      <c r="B234" s="263"/>
      <c r="C234" s="290"/>
      <c r="D234" s="265"/>
      <c r="E234" s="291"/>
      <c r="F234" s="292"/>
      <c r="G234" s="292"/>
      <c r="H234" s="293"/>
      <c r="I234" s="265"/>
      <c r="J234" s="294"/>
      <c r="K234" s="292"/>
      <c r="L234" s="293"/>
    </row>
    <row r="235" spans="1:12" x14ac:dyDescent="0.2">
      <c r="A235" s="264">
        <v>3</v>
      </c>
      <c r="B235" s="301" t="s">
        <v>176</v>
      </c>
      <c r="C235" s="290">
        <v>69911</v>
      </c>
      <c r="D235" s="265"/>
      <c r="E235" s="291">
        <v>1</v>
      </c>
      <c r="F235" s="292">
        <f>+C235*E235</f>
        <v>69911</v>
      </c>
      <c r="G235" s="292"/>
      <c r="H235" s="293">
        <f>SUM(F235+G235)</f>
        <v>69911</v>
      </c>
      <c r="I235" s="265"/>
      <c r="J235" s="294"/>
      <c r="K235" s="292"/>
      <c r="L235" s="293">
        <f>$H$92</f>
        <v>69911</v>
      </c>
    </row>
    <row r="236" spans="1:12" x14ac:dyDescent="0.2">
      <c r="B236" s="263"/>
      <c r="C236" s="290"/>
      <c r="D236" s="265"/>
      <c r="E236" s="291"/>
      <c r="F236" s="292"/>
      <c r="G236" s="292"/>
      <c r="H236" s="293"/>
      <c r="I236" s="265"/>
      <c r="J236" s="294"/>
      <c r="K236" s="292"/>
      <c r="L236" s="293"/>
    </row>
    <row r="237" spans="1:12" x14ac:dyDescent="0.2">
      <c r="A237" s="264">
        <v>4</v>
      </c>
      <c r="B237" s="263" t="s">
        <v>46</v>
      </c>
      <c r="C237" s="290">
        <v>45865</v>
      </c>
      <c r="D237" s="265"/>
      <c r="E237" s="291">
        <v>1</v>
      </c>
      <c r="F237" s="292">
        <f>+C237*E237</f>
        <v>45865</v>
      </c>
      <c r="G237" s="292"/>
      <c r="H237" s="293">
        <f>SUM(F237+G237)</f>
        <v>45865</v>
      </c>
      <c r="I237" s="265"/>
      <c r="J237" s="294">
        <f>+H237</f>
        <v>45865</v>
      </c>
      <c r="K237" s="292"/>
      <c r="L237" s="293"/>
    </row>
    <row r="238" spans="1:12" x14ac:dyDescent="0.2">
      <c r="B238" s="263"/>
      <c r="C238" s="290"/>
      <c r="D238" s="265"/>
      <c r="E238" s="291"/>
      <c r="F238" s="292"/>
      <c r="G238" s="292"/>
      <c r="H238" s="293"/>
      <c r="I238" s="265"/>
      <c r="J238" s="294"/>
      <c r="K238" s="292"/>
      <c r="L238" s="293"/>
    </row>
    <row r="239" spans="1:12" x14ac:dyDescent="0.2">
      <c r="A239" s="264">
        <v>5</v>
      </c>
      <c r="B239" s="263" t="s">
        <v>47</v>
      </c>
      <c r="C239" s="290">
        <v>42470</v>
      </c>
      <c r="D239" s="265"/>
      <c r="E239" s="291">
        <v>1</v>
      </c>
      <c r="F239" s="292">
        <f>+C239*E239</f>
        <v>42470</v>
      </c>
      <c r="G239" s="292"/>
      <c r="H239" s="293">
        <f>SUM(F239+G239)</f>
        <v>42470</v>
      </c>
      <c r="I239" s="265"/>
      <c r="J239" s="294">
        <f>+H239</f>
        <v>42470</v>
      </c>
      <c r="K239" s="292"/>
      <c r="L239" s="293"/>
    </row>
    <row r="240" spans="1:12" x14ac:dyDescent="0.2">
      <c r="B240" s="263"/>
      <c r="C240" s="290"/>
      <c r="D240" s="265"/>
      <c r="E240" s="291"/>
      <c r="F240" s="292"/>
      <c r="G240" s="292"/>
      <c r="H240" s="293"/>
      <c r="I240" s="265"/>
      <c r="J240" s="294"/>
      <c r="K240" s="292"/>
      <c r="L240" s="293"/>
    </row>
    <row r="241" spans="1:12" x14ac:dyDescent="0.2">
      <c r="A241" s="264">
        <v>6</v>
      </c>
      <c r="B241" s="263" t="s">
        <v>113</v>
      </c>
      <c r="C241" s="290">
        <v>57775</v>
      </c>
      <c r="D241" s="265"/>
      <c r="E241" s="291">
        <v>1</v>
      </c>
      <c r="F241" s="292">
        <f>+C241*E241</f>
        <v>57775</v>
      </c>
      <c r="G241" s="292"/>
      <c r="H241" s="293">
        <f>SUM(F241+G241)</f>
        <v>57775</v>
      </c>
      <c r="I241" s="265"/>
      <c r="J241" s="294">
        <f>+H241</f>
        <v>57775</v>
      </c>
      <c r="K241" s="292"/>
      <c r="L241" s="293"/>
    </row>
    <row r="242" spans="1:12" x14ac:dyDescent="0.2">
      <c r="B242" s="263"/>
      <c r="C242" s="290"/>
      <c r="D242" s="265"/>
      <c r="E242" s="291"/>
      <c r="F242" s="292"/>
      <c r="G242" s="292"/>
      <c r="H242" s="293"/>
      <c r="I242" s="265"/>
      <c r="J242" s="294"/>
      <c r="K242" s="292"/>
      <c r="L242" s="293"/>
    </row>
    <row r="243" spans="1:12" x14ac:dyDescent="0.2">
      <c r="A243" s="264">
        <v>7</v>
      </c>
      <c r="B243" s="263" t="s">
        <v>151</v>
      </c>
      <c r="C243" s="273">
        <v>42470</v>
      </c>
      <c r="D243" s="265"/>
      <c r="E243" s="322">
        <f>ROUND(C220/100,0)</f>
        <v>1</v>
      </c>
      <c r="F243" s="292">
        <f>SUM(E243*C243)</f>
        <v>42470</v>
      </c>
      <c r="G243" s="292"/>
      <c r="H243" s="293">
        <f>SUM(F243+G243)</f>
        <v>42470</v>
      </c>
      <c r="I243" s="265"/>
      <c r="J243" s="293">
        <f>SUM(H243+I243)</f>
        <v>42470</v>
      </c>
      <c r="K243" s="296"/>
      <c r="L243" s="297"/>
    </row>
    <row r="244" spans="1:12" x14ac:dyDescent="0.2">
      <c r="B244" s="263"/>
      <c r="C244" s="273"/>
      <c r="D244" s="265"/>
      <c r="E244" s="322"/>
      <c r="F244" s="292"/>
      <c r="G244" s="292"/>
      <c r="H244" s="293"/>
      <c r="I244" s="265"/>
      <c r="J244" s="292"/>
      <c r="K244" s="296"/>
      <c r="L244" s="297"/>
    </row>
    <row r="245" spans="1:12" x14ac:dyDescent="0.2">
      <c r="B245" s="263" t="s">
        <v>199</v>
      </c>
      <c r="C245" s="273"/>
      <c r="D245" s="265"/>
      <c r="E245" s="322"/>
      <c r="F245" s="292"/>
      <c r="G245" s="292">
        <v>10200</v>
      </c>
      <c r="H245" s="293">
        <v>10200</v>
      </c>
      <c r="I245" s="265"/>
      <c r="J245" s="292">
        <v>10200</v>
      </c>
      <c r="K245" s="296"/>
      <c r="L245" s="297"/>
    </row>
    <row r="246" spans="1:12" x14ac:dyDescent="0.2">
      <c r="B246" s="263"/>
      <c r="C246" s="290"/>
      <c r="D246" s="265"/>
      <c r="E246" s="291"/>
      <c r="F246" s="292"/>
      <c r="G246" s="292"/>
      <c r="H246" s="293"/>
      <c r="I246" s="265"/>
      <c r="J246" s="294"/>
      <c r="K246" s="292"/>
      <c r="L246" s="293"/>
    </row>
    <row r="247" spans="1:12" x14ac:dyDescent="0.2">
      <c r="A247" s="264">
        <v>8</v>
      </c>
      <c r="B247" s="263" t="s">
        <v>50</v>
      </c>
      <c r="C247" s="290">
        <v>15000</v>
      </c>
      <c r="D247" s="265"/>
      <c r="E247" s="291"/>
      <c r="F247" s="292"/>
      <c r="G247" s="292">
        <f>+C247</f>
        <v>15000</v>
      </c>
      <c r="H247" s="293">
        <f>SUM(F247+G247)</f>
        <v>15000</v>
      </c>
      <c r="I247" s="265"/>
      <c r="J247" s="323">
        <f>+H247</f>
        <v>15000</v>
      </c>
      <c r="K247" s="292"/>
      <c r="L247" s="293"/>
    </row>
    <row r="248" spans="1:12" x14ac:dyDescent="0.2">
      <c r="B248" s="263"/>
      <c r="C248" s="290"/>
      <c r="D248" s="265"/>
      <c r="E248" s="291"/>
      <c r="F248" s="292"/>
      <c r="G248" s="292"/>
      <c r="H248" s="293"/>
      <c r="I248" s="265"/>
      <c r="J248" s="323"/>
      <c r="K248" s="292"/>
      <c r="L248" s="293"/>
    </row>
    <row r="249" spans="1:12" x14ac:dyDescent="0.2">
      <c r="A249" s="264">
        <v>9</v>
      </c>
      <c r="B249" s="263" t="s">
        <v>51</v>
      </c>
      <c r="C249" s="290">
        <v>30000</v>
      </c>
      <c r="D249" s="265"/>
      <c r="E249" s="291"/>
      <c r="F249" s="292"/>
      <c r="G249" s="292">
        <f>+C249</f>
        <v>30000</v>
      </c>
      <c r="H249" s="293">
        <f>SUM(F249+G249)</f>
        <v>30000</v>
      </c>
      <c r="I249" s="265"/>
      <c r="J249" s="323">
        <f>+H249</f>
        <v>30000</v>
      </c>
      <c r="K249" s="292"/>
      <c r="L249" s="293"/>
    </row>
    <row r="250" spans="1:12" x14ac:dyDescent="0.2">
      <c r="B250" s="263"/>
      <c r="C250" s="290"/>
      <c r="D250" s="265"/>
      <c r="E250" s="291"/>
      <c r="F250" s="292"/>
      <c r="G250" s="292"/>
      <c r="H250" s="293"/>
      <c r="I250" s="265"/>
      <c r="J250" s="323"/>
      <c r="K250" s="292"/>
      <c r="L250" s="293"/>
    </row>
    <row r="251" spans="1:12" x14ac:dyDescent="0.2">
      <c r="A251" s="264">
        <v>10</v>
      </c>
      <c r="B251" s="263" t="s">
        <v>52</v>
      </c>
      <c r="C251" s="290">
        <v>40000</v>
      </c>
      <c r="D251" s="265"/>
      <c r="E251" s="291"/>
      <c r="F251" s="292"/>
      <c r="G251" s="292">
        <f>+C251</f>
        <v>40000</v>
      </c>
      <c r="H251" s="293">
        <f>SUM(F251+G251)</f>
        <v>40000</v>
      </c>
      <c r="I251" s="265"/>
      <c r="J251" s="323">
        <f>+H251</f>
        <v>40000</v>
      </c>
      <c r="K251" s="292"/>
      <c r="L251" s="293"/>
    </row>
    <row r="252" spans="1:12" x14ac:dyDescent="0.2">
      <c r="B252" s="263"/>
      <c r="C252" s="290"/>
      <c r="D252" s="265"/>
      <c r="E252" s="291"/>
      <c r="F252" s="292"/>
      <c r="G252" s="292"/>
      <c r="H252" s="293"/>
      <c r="I252" s="265"/>
      <c r="J252" s="294"/>
      <c r="K252" s="292"/>
      <c r="L252" s="293"/>
    </row>
    <row r="253" spans="1:12" x14ac:dyDescent="0.2">
      <c r="A253" s="264">
        <v>11</v>
      </c>
      <c r="B253" s="263" t="s">
        <v>53</v>
      </c>
      <c r="C253" s="290"/>
      <c r="D253" s="265"/>
      <c r="E253" s="291"/>
      <c r="F253" s="292"/>
      <c r="G253" s="292">
        <f>ROUND((F233+F235+F237+F239+F241+F255+F259+F261+F266+F268+F270+F272+F243+F274+F263)*0.15,0)</f>
        <v>331994</v>
      </c>
      <c r="H253" s="293">
        <f>SUM(G253)</f>
        <v>331994</v>
      </c>
      <c r="I253" s="265"/>
      <c r="J253" s="323">
        <f>ROUND((SUM(F233:F243)*0.15),0)</f>
        <v>52215</v>
      </c>
      <c r="K253" s="324">
        <f>ROUND(SUM(F255:F270,F272)*0.15,0)</f>
        <v>232114</v>
      </c>
      <c r="L253" s="325">
        <f>ROUND(F274*0.15,0)</f>
        <v>47666</v>
      </c>
    </row>
    <row r="254" spans="1:12" x14ac:dyDescent="0.2">
      <c r="B254" s="263"/>
      <c r="C254" s="290"/>
      <c r="D254" s="265"/>
      <c r="E254" s="291"/>
      <c r="F254" s="292"/>
      <c r="G254" s="292"/>
      <c r="H254" s="293"/>
      <c r="I254" s="265"/>
      <c r="J254" s="294"/>
      <c r="K254" s="296"/>
      <c r="L254" s="297"/>
    </row>
    <row r="255" spans="1:12" x14ac:dyDescent="0.2">
      <c r="A255" s="264">
        <v>12</v>
      </c>
      <c r="B255" s="263" t="s">
        <v>54</v>
      </c>
      <c r="C255" s="290"/>
      <c r="D255" s="265"/>
      <c r="E255" s="291"/>
      <c r="F255" s="292">
        <f>(F233+F235+F237+F239+F259+F241+F261++F266+F268+F270+F274+F243+F272+F263)*0.2045</f>
        <v>375773.31034999999</v>
      </c>
      <c r="G255" s="292"/>
      <c r="H255" s="293">
        <f>(F233+F235+F237+F239+F241+F259+F261+F266+F268+F270+F274+F243+F272+F263)*0.2045</f>
        <v>375773.31034999999</v>
      </c>
      <c r="I255" s="265"/>
      <c r="J255" s="323">
        <f>ROUND((SUM(F233:F243)*0.2045),0)</f>
        <v>71186</v>
      </c>
      <c r="K255" s="324">
        <f>ROUND((SUM(F259:F272)*0.2045),0)</f>
        <v>239602</v>
      </c>
      <c r="L255" s="325">
        <f>ROUND(F274*0.2045,0)</f>
        <v>64985</v>
      </c>
    </row>
    <row r="256" spans="1:12" x14ac:dyDescent="0.2">
      <c r="B256" s="263"/>
      <c r="C256" s="290"/>
      <c r="D256" s="265"/>
      <c r="E256" s="291"/>
      <c r="F256" s="292"/>
      <c r="G256" s="292"/>
      <c r="H256" s="293"/>
      <c r="I256" s="265"/>
      <c r="J256" s="294"/>
      <c r="K256" s="296"/>
      <c r="L256" s="297"/>
    </row>
    <row r="257" spans="1:12" x14ac:dyDescent="0.2">
      <c r="A257" s="264">
        <v>13</v>
      </c>
      <c r="B257" s="263" t="s">
        <v>55</v>
      </c>
      <c r="C257" s="290">
        <v>2000</v>
      </c>
      <c r="D257" s="265"/>
      <c r="E257" s="291"/>
      <c r="F257" s="292"/>
      <c r="G257" s="292">
        <f>E282*2000</f>
        <v>56000</v>
      </c>
      <c r="H257" s="293">
        <f t="shared" ref="H257" si="19">SUM(F257+G257)</f>
        <v>56000</v>
      </c>
      <c r="I257" s="265"/>
      <c r="J257" s="294">
        <f>(E233+E235+E237+E239+E241+E243)*2000</f>
        <v>12000</v>
      </c>
      <c r="K257" s="296">
        <f>ROUND(SUM(E261,E266,E268,E270,E272,E263)*2000,0)</f>
        <v>34000</v>
      </c>
      <c r="L257" s="297">
        <f>ROUND(E274*2000,0)</f>
        <v>10000</v>
      </c>
    </row>
    <row r="258" spans="1:12" x14ac:dyDescent="0.2">
      <c r="B258" s="263"/>
      <c r="C258" s="290"/>
      <c r="D258" s="265"/>
      <c r="E258" s="291"/>
      <c r="F258" s="292"/>
      <c r="G258" s="292"/>
      <c r="H258" s="293"/>
      <c r="I258" s="265"/>
      <c r="J258" s="294"/>
      <c r="K258" s="296"/>
      <c r="L258" s="297"/>
    </row>
    <row r="259" spans="1:12" ht="36.75" customHeight="1" x14ac:dyDescent="0.2">
      <c r="A259" s="264">
        <v>14</v>
      </c>
      <c r="B259" s="263" t="s">
        <v>114</v>
      </c>
      <c r="C259" s="290"/>
      <c r="D259" s="265"/>
      <c r="E259" s="291"/>
      <c r="F259" s="292">
        <f>(F266+F270+F272+F261+F263+F274+F268)*0.1</f>
        <v>135402.30000000002</v>
      </c>
      <c r="G259" s="292"/>
      <c r="H259" s="293">
        <f>SUM(F259+G259)</f>
        <v>135402.30000000002</v>
      </c>
      <c r="I259" s="265"/>
      <c r="J259" s="294"/>
      <c r="K259" s="296">
        <f>ROUND((+F261+F266+F270+F272+F263+F268)*0.1,0)</f>
        <v>103625</v>
      </c>
      <c r="L259" s="297">
        <f>ROUND(F274*0.1,0)</f>
        <v>31778</v>
      </c>
    </row>
    <row r="260" spans="1:12" x14ac:dyDescent="0.2">
      <c r="B260" s="263"/>
      <c r="C260" s="290"/>
      <c r="D260" s="265"/>
      <c r="E260" s="291"/>
      <c r="F260" s="292"/>
      <c r="G260" s="292"/>
      <c r="H260" s="293"/>
      <c r="I260" s="265"/>
      <c r="J260" s="294"/>
      <c r="K260" s="292"/>
      <c r="L260" s="293"/>
    </row>
    <row r="261" spans="1:12" x14ac:dyDescent="0.2">
      <c r="A261" s="264">
        <v>15</v>
      </c>
      <c r="B261" s="263" t="s">
        <v>57</v>
      </c>
      <c r="C261" s="290">
        <v>69911</v>
      </c>
      <c r="D261" s="265"/>
      <c r="E261" s="326">
        <f>ROUND((E274+E270+E268+E266+E272+E263)/6,0)</f>
        <v>3</v>
      </c>
      <c r="F261" s="292">
        <f>F225*E261</f>
        <v>209733</v>
      </c>
      <c r="G261" s="292"/>
      <c r="H261" s="293">
        <f t="shared" ref="H261" si="20">SUM(F261+G261)</f>
        <v>209733</v>
      </c>
      <c r="I261" s="265"/>
      <c r="J261" s="291"/>
      <c r="K261" s="296">
        <f>ROUND(F261*((+E$49+E$51+E$53)/(E$49+E$51+E$53+E$55)),0)</f>
        <v>132115</v>
      </c>
      <c r="L261" s="297">
        <f>ROUND((+F261*(E$55/(+E$49+E$51+E$53+E$55))),0)</f>
        <v>77618</v>
      </c>
    </row>
    <row r="262" spans="1:12" x14ac:dyDescent="0.2">
      <c r="B262" s="263"/>
      <c r="C262" s="290"/>
      <c r="D262" s="265"/>
      <c r="E262" s="291"/>
      <c r="F262" s="292"/>
      <c r="G262" s="292"/>
      <c r="H262" s="293"/>
      <c r="I262" s="265"/>
      <c r="J262" s="294"/>
      <c r="K262" s="292"/>
      <c r="L262" s="293"/>
    </row>
    <row r="263" spans="1:12" x14ac:dyDescent="0.2">
      <c r="A263" s="301">
        <v>16</v>
      </c>
      <c r="B263" s="301" t="s">
        <v>160</v>
      </c>
      <c r="C263" s="290">
        <v>42470</v>
      </c>
      <c r="D263" s="265"/>
      <c r="E263" s="326">
        <f>ROUNDUP((E274+E270+E268+E266+E272)/6,0)</f>
        <v>3</v>
      </c>
      <c r="F263" s="327">
        <f>F226*E263</f>
        <v>127410</v>
      </c>
      <c r="H263" s="293">
        <f t="shared" ref="H263" si="21">SUM(F263+G263)</f>
        <v>127410</v>
      </c>
      <c r="I263" s="265"/>
      <c r="J263" s="294"/>
      <c r="K263" s="296">
        <f>ROUND(F263*((+E$49+E$51+E$53)/(E$49+E$51+E$53+E$55)),0)</f>
        <v>80258</v>
      </c>
      <c r="L263" s="297">
        <f>ROUND((+F263*(E$55/(+E$49+E$51+E$53+E$55))),0)</f>
        <v>47152</v>
      </c>
    </row>
    <row r="264" spans="1:12" x14ac:dyDescent="0.2">
      <c r="B264" s="263"/>
      <c r="C264" s="290"/>
      <c r="D264" s="265"/>
      <c r="E264" s="291"/>
      <c r="F264" s="292"/>
      <c r="G264" s="292"/>
      <c r="H264" s="293"/>
      <c r="I264" s="265"/>
      <c r="J264" s="294"/>
      <c r="K264" s="292"/>
      <c r="L264" s="293"/>
    </row>
    <row r="265" spans="1:12" ht="15.75" x14ac:dyDescent="0.25">
      <c r="A265" s="282" t="s">
        <v>115</v>
      </c>
      <c r="B265" s="263"/>
      <c r="C265" s="290"/>
      <c r="D265" s="265"/>
      <c r="E265" s="291"/>
      <c r="F265" s="292"/>
      <c r="G265" s="292"/>
      <c r="H265" s="293"/>
      <c r="I265" s="265"/>
      <c r="J265" s="294"/>
      <c r="K265" s="292"/>
      <c r="L265" s="293"/>
    </row>
    <row r="266" spans="1:12" x14ac:dyDescent="0.2">
      <c r="A266" s="300">
        <v>17</v>
      </c>
      <c r="B266" s="301" t="s">
        <v>60</v>
      </c>
      <c r="C266" s="302">
        <v>63555</v>
      </c>
      <c r="D266" s="303"/>
      <c r="E266" s="304">
        <f>ROUND(C220/30,0)</f>
        <v>3</v>
      </c>
      <c r="F266" s="305">
        <f>F224*E266</f>
        <v>190665</v>
      </c>
      <c r="G266" s="305"/>
      <c r="H266" s="293">
        <f t="shared" ref="H266" si="22">SUM(F266+G266)</f>
        <v>190665</v>
      </c>
      <c r="I266" s="303"/>
      <c r="J266" s="306"/>
      <c r="K266" s="292">
        <f>SUM(E266*F224)</f>
        <v>190665</v>
      </c>
      <c r="L266" s="293"/>
    </row>
    <row r="267" spans="1:12" x14ac:dyDescent="0.2">
      <c r="A267" s="301"/>
      <c r="B267" s="301"/>
      <c r="C267" s="290"/>
      <c r="D267" s="265"/>
      <c r="E267" s="291"/>
      <c r="F267" s="292"/>
      <c r="G267" s="292"/>
      <c r="H267" s="293"/>
      <c r="I267" s="265"/>
      <c r="J267" s="294"/>
      <c r="K267" s="292"/>
      <c r="L267" s="293"/>
    </row>
    <row r="268" spans="1:12" ht="30" x14ac:dyDescent="0.2">
      <c r="A268" s="300">
        <v>18</v>
      </c>
      <c r="B268" s="301" t="s">
        <v>61</v>
      </c>
      <c r="C268" s="290">
        <v>63555</v>
      </c>
      <c r="D268" s="265"/>
      <c r="E268" s="291">
        <v>1</v>
      </c>
      <c r="F268" s="292">
        <f>F224*E268</f>
        <v>63555</v>
      </c>
      <c r="G268" s="292"/>
      <c r="H268" s="293">
        <f t="shared" ref="H268" si="23">SUM(F268+G268)</f>
        <v>63555</v>
      </c>
      <c r="I268" s="265"/>
      <c r="J268" s="294" t="s">
        <v>62</v>
      </c>
      <c r="K268" s="292">
        <f>SUM(E268*F224)</f>
        <v>63555</v>
      </c>
      <c r="L268" s="293"/>
    </row>
    <row r="269" spans="1:12" x14ac:dyDescent="0.2">
      <c r="A269" s="301"/>
      <c r="B269" s="301"/>
      <c r="C269" s="290"/>
      <c r="D269" s="265"/>
      <c r="E269" s="291"/>
      <c r="F269" s="292"/>
      <c r="G269" s="292"/>
      <c r="H269" s="293"/>
      <c r="I269" s="265"/>
      <c r="J269" s="294"/>
      <c r="K269" s="292"/>
      <c r="L269" s="293"/>
    </row>
    <row r="270" spans="1:12" x14ac:dyDescent="0.2">
      <c r="A270" s="301">
        <v>19</v>
      </c>
      <c r="B270" s="301" t="s">
        <v>63</v>
      </c>
      <c r="C270" s="290">
        <v>63555</v>
      </c>
      <c r="D270" s="265"/>
      <c r="E270" s="291">
        <f>ROUND(C220/20,0)</f>
        <v>5</v>
      </c>
      <c r="F270" s="292">
        <f>F224*E270</f>
        <v>317775</v>
      </c>
      <c r="G270" s="292"/>
      <c r="H270" s="293">
        <f t="shared" ref="H270" si="24">SUM(F270+G270)</f>
        <v>317775</v>
      </c>
      <c r="I270" s="265"/>
      <c r="J270" s="294"/>
      <c r="K270" s="292">
        <f>SUM(E270*F224)</f>
        <v>317775</v>
      </c>
      <c r="L270" s="293"/>
    </row>
    <row r="271" spans="1:12" x14ac:dyDescent="0.2">
      <c r="A271" s="301"/>
      <c r="B271" s="301"/>
      <c r="C271" s="290"/>
      <c r="D271" s="265"/>
      <c r="E271" s="291"/>
      <c r="F271" s="292"/>
      <c r="G271" s="292"/>
      <c r="H271" s="293"/>
      <c r="I271" s="265"/>
      <c r="J271" s="294"/>
      <c r="K271" s="292"/>
      <c r="L271" s="293"/>
    </row>
    <row r="272" spans="1:12" x14ac:dyDescent="0.2">
      <c r="A272" s="301">
        <v>20</v>
      </c>
      <c r="B272" s="301" t="s">
        <v>111</v>
      </c>
      <c r="C272" s="290">
        <v>63555</v>
      </c>
      <c r="D272" s="265"/>
      <c r="E272" s="328">
        <f>ROUNDDOWN(C221/40,0)</f>
        <v>2</v>
      </c>
      <c r="F272" s="292">
        <f>F224*E272</f>
        <v>127110</v>
      </c>
      <c r="G272" s="292"/>
      <c r="H272" s="293">
        <f t="shared" ref="H272" si="25">SUM(F272+G272)</f>
        <v>127110</v>
      </c>
      <c r="I272" s="290"/>
      <c r="K272" s="265">
        <f>SUM(E272*F224)</f>
        <v>127110</v>
      </c>
      <c r="L272" s="329"/>
    </row>
    <row r="273" spans="1:12" x14ac:dyDescent="0.2">
      <c r="A273" s="301"/>
      <c r="B273" s="301"/>
      <c r="C273" s="290"/>
      <c r="D273" s="265"/>
      <c r="E273" s="291"/>
      <c r="F273" s="292"/>
      <c r="G273" s="292"/>
      <c r="H273" s="293"/>
      <c r="I273" s="290"/>
      <c r="L273" s="329"/>
    </row>
    <row r="274" spans="1:12" x14ac:dyDescent="0.2">
      <c r="A274" s="301">
        <v>21</v>
      </c>
      <c r="B274" s="301" t="s">
        <v>112</v>
      </c>
      <c r="C274" s="290">
        <v>63555</v>
      </c>
      <c r="D274" s="265"/>
      <c r="E274" s="328">
        <f>ROUND(C221/20,0)</f>
        <v>5</v>
      </c>
      <c r="F274" s="292">
        <f>SUM(E274*F224)</f>
        <v>317775</v>
      </c>
      <c r="H274" s="293">
        <f t="shared" ref="H274" si="26">SUM(F274+G274)</f>
        <v>317775</v>
      </c>
      <c r="I274" s="290"/>
      <c r="K274" s="265"/>
      <c r="L274" s="293">
        <f>SUM(H274)</f>
        <v>317775</v>
      </c>
    </row>
    <row r="275" spans="1:12" x14ac:dyDescent="0.2">
      <c r="A275" s="301"/>
      <c r="B275" s="301"/>
      <c r="C275" s="290"/>
      <c r="D275" s="265"/>
      <c r="E275" s="291"/>
      <c r="F275" s="292"/>
      <c r="H275" s="293"/>
      <c r="I275" s="290"/>
      <c r="L275" s="329"/>
    </row>
    <row r="276" spans="1:12" x14ac:dyDescent="0.2">
      <c r="A276" s="301">
        <v>22</v>
      </c>
      <c r="B276" s="301" t="s">
        <v>155</v>
      </c>
      <c r="C276" s="295"/>
      <c r="D276" s="307"/>
      <c r="E276" s="291"/>
      <c r="F276" s="292"/>
      <c r="G276" s="292">
        <f>ROUND(175*C219,0)</f>
        <v>278600</v>
      </c>
      <c r="H276" s="293">
        <f t="shared" ref="H276" si="27">SUM(F276+G276)</f>
        <v>278600</v>
      </c>
      <c r="I276" s="265"/>
      <c r="J276" s="294" t="s">
        <v>62</v>
      </c>
      <c r="K276" s="292">
        <f>ROUND(175/2*C219,0)</f>
        <v>139300</v>
      </c>
      <c r="L276" s="293">
        <f>ROUND(175/2*C219,0)</f>
        <v>139300</v>
      </c>
    </row>
    <row r="277" spans="1:12" x14ac:dyDescent="0.2">
      <c r="A277" s="301"/>
      <c r="B277" s="301"/>
      <c r="C277" s="290"/>
      <c r="D277" s="265"/>
      <c r="E277" s="291"/>
      <c r="F277" s="292"/>
      <c r="G277" s="292"/>
      <c r="H277" s="293"/>
      <c r="I277" s="265"/>
      <c r="J277" s="294"/>
      <c r="K277" s="292"/>
      <c r="L277" s="293"/>
    </row>
    <row r="278" spans="1:12" x14ac:dyDescent="0.2">
      <c r="A278" s="301">
        <v>23</v>
      </c>
      <c r="B278" s="301" t="s">
        <v>66</v>
      </c>
      <c r="C278" s="290">
        <v>11500</v>
      </c>
      <c r="D278" s="265"/>
      <c r="E278" s="291"/>
      <c r="F278" s="292"/>
      <c r="G278" s="292">
        <f>(E233+E261+E272+E266+E268+E270+E274+E263)*11500</f>
        <v>264500</v>
      </c>
      <c r="H278" s="293">
        <f>SUM(F278:G278)</f>
        <v>264500</v>
      </c>
      <c r="I278" s="265"/>
      <c r="J278" s="323">
        <f>ROUND(11500*E233,0)</f>
        <v>11500</v>
      </c>
      <c r="K278" s="296">
        <f>(ROUND(11500*(+E270+E268+E266+E272+E261+E263),0))</f>
        <v>195500</v>
      </c>
      <c r="L278" s="297">
        <f>ROUND(11500*E274,0)</f>
        <v>57500</v>
      </c>
    </row>
    <row r="279" spans="1:12" x14ac:dyDescent="0.2">
      <c r="A279" s="301"/>
      <c r="B279" s="301"/>
      <c r="C279" s="290"/>
      <c r="D279" s="265"/>
      <c r="E279" s="291"/>
      <c r="G279" s="292"/>
      <c r="H279" s="293"/>
      <c r="J279" s="294"/>
      <c r="K279" s="296"/>
      <c r="L279" s="297"/>
    </row>
    <row r="280" spans="1:12" x14ac:dyDescent="0.2">
      <c r="A280" s="301">
        <v>24</v>
      </c>
      <c r="B280" s="301" t="s">
        <v>82</v>
      </c>
      <c r="C280" s="290"/>
      <c r="D280" s="265"/>
      <c r="E280" s="291"/>
      <c r="G280" s="292">
        <v>460000</v>
      </c>
      <c r="H280" s="293">
        <f t="shared" ref="H280" si="28">SUM(F280+G280)</f>
        <v>460000</v>
      </c>
      <c r="I280" s="330"/>
      <c r="J280" s="292"/>
      <c r="K280" s="296"/>
      <c r="L280" s="297">
        <f>+H280</f>
        <v>460000</v>
      </c>
    </row>
    <row r="281" spans="1:12" ht="15.75" thickBot="1" x14ac:dyDescent="0.25">
      <c r="B281" s="331"/>
      <c r="C281" s="332"/>
      <c r="D281" s="265"/>
      <c r="E281" s="291"/>
      <c r="H281" s="293"/>
      <c r="I281" s="333"/>
      <c r="J281" s="265"/>
      <c r="L281" s="293"/>
    </row>
    <row r="282" spans="1:12" ht="16.5" thickBot="1" x14ac:dyDescent="0.3">
      <c r="B282" s="334" t="s">
        <v>67</v>
      </c>
      <c r="C282" s="335"/>
      <c r="D282" s="336"/>
      <c r="E282" s="337">
        <f>SUM(E230:E281)</f>
        <v>28</v>
      </c>
      <c r="F282" s="336">
        <f>SUM(F230:F280)</f>
        <v>2213295.6103499997</v>
      </c>
      <c r="G282" s="336">
        <f>SUM(G231:G280)</f>
        <v>1536294</v>
      </c>
      <c r="H282" s="338">
        <f>SUM(H231:H281)</f>
        <v>3749589.6103499997</v>
      </c>
      <c r="I282" s="336"/>
      <c r="J282" s="339">
        <f>SUM(J231:J280)</f>
        <v>570287</v>
      </c>
      <c r="K282" s="336">
        <f>SUM(K231:K281)</f>
        <v>1855619</v>
      </c>
      <c r="L282" s="340">
        <f>SUM(L230:L281)</f>
        <v>1323685</v>
      </c>
    </row>
    <row r="283" spans="1:12" ht="15.75" x14ac:dyDescent="0.25">
      <c r="B283" s="272"/>
      <c r="C283" s="271"/>
      <c r="D283" s="271"/>
      <c r="E283" s="274"/>
      <c r="J283" s="315"/>
      <c r="K283" s="316"/>
      <c r="L283" s="346"/>
    </row>
    <row r="284" spans="1:12" ht="15.75" x14ac:dyDescent="0.25">
      <c r="B284" s="272"/>
      <c r="C284" s="271"/>
      <c r="D284" s="271"/>
      <c r="E284" s="274"/>
      <c r="J284" s="265"/>
      <c r="K284" s="265"/>
      <c r="L284" s="347"/>
    </row>
    <row r="285" spans="1:12" ht="15.75" x14ac:dyDescent="0.25">
      <c r="B285" s="318"/>
      <c r="C285" s="271"/>
      <c r="D285" s="271"/>
      <c r="E285" s="274"/>
      <c r="J285" s="265"/>
      <c r="K285" s="265"/>
      <c r="L285" s="347"/>
    </row>
    <row r="286" spans="1:12" ht="15.75" x14ac:dyDescent="0.25">
      <c r="C286" s="272"/>
      <c r="D286" s="272"/>
      <c r="E286" s="274"/>
      <c r="L286" s="347"/>
    </row>
    <row r="288" spans="1:12" x14ac:dyDescent="0.2">
      <c r="A288" s="262"/>
      <c r="B288" s="263"/>
    </row>
    <row r="289" spans="1:12" ht="15.75" x14ac:dyDescent="0.25">
      <c r="A289" s="266" t="s">
        <v>24</v>
      </c>
      <c r="B289" s="267"/>
      <c r="C289" s="320" t="s">
        <v>87</v>
      </c>
    </row>
    <row r="290" spans="1:12" ht="15.75" x14ac:dyDescent="0.25">
      <c r="A290" s="266" t="s">
        <v>106</v>
      </c>
      <c r="B290" s="263"/>
    </row>
    <row r="291" spans="1:12" x14ac:dyDescent="0.2">
      <c r="B291" s="263"/>
      <c r="C291" s="268"/>
      <c r="D291" s="268"/>
    </row>
    <row r="292" spans="1:12" x14ac:dyDescent="0.2">
      <c r="B292" s="263"/>
      <c r="C292" s="269"/>
      <c r="D292" s="269"/>
    </row>
    <row r="293" spans="1:12" ht="15.75" x14ac:dyDescent="0.25">
      <c r="A293" s="264" t="s">
        <v>27</v>
      </c>
      <c r="B293" s="263"/>
      <c r="C293" s="343">
        <v>681</v>
      </c>
      <c r="D293" s="270" t="s">
        <v>79</v>
      </c>
      <c r="E293" s="271"/>
    </row>
    <row r="294" spans="1:12" ht="15.75" x14ac:dyDescent="0.25">
      <c r="A294" s="264" t="s">
        <v>28</v>
      </c>
      <c r="B294" s="263"/>
      <c r="C294" s="343">
        <f>C293*0.06</f>
        <v>40.86</v>
      </c>
      <c r="D294" s="268"/>
      <c r="E294" s="271"/>
    </row>
    <row r="295" spans="1:12" ht="15.75" x14ac:dyDescent="0.25">
      <c r="A295" s="264" t="s">
        <v>29</v>
      </c>
      <c r="B295" s="263"/>
      <c r="C295" s="343">
        <f>C293/3*0.2</f>
        <v>45.400000000000006</v>
      </c>
      <c r="D295" s="270"/>
      <c r="E295" s="271"/>
    </row>
    <row r="296" spans="1:12" ht="15.75" x14ac:dyDescent="0.25">
      <c r="B296" s="263" t="s">
        <v>30</v>
      </c>
      <c r="C296" s="343">
        <v>3</v>
      </c>
      <c r="D296" s="268"/>
      <c r="E296" s="271"/>
    </row>
    <row r="297" spans="1:12" x14ac:dyDescent="0.2">
      <c r="B297" s="263"/>
    </row>
    <row r="298" spans="1:12" x14ac:dyDescent="0.2">
      <c r="A298" s="271" t="s">
        <v>107</v>
      </c>
      <c r="B298" s="272"/>
      <c r="C298" s="321"/>
      <c r="D298" s="273"/>
      <c r="E298" s="321"/>
      <c r="F298" s="273">
        <v>63555</v>
      </c>
      <c r="I298" s="265"/>
    </row>
    <row r="299" spans="1:12" x14ac:dyDescent="0.2">
      <c r="A299" s="271" t="s">
        <v>108</v>
      </c>
      <c r="B299" s="272"/>
      <c r="C299" s="321"/>
      <c r="D299" s="273"/>
      <c r="E299" s="321"/>
      <c r="F299" s="273">
        <v>69911</v>
      </c>
      <c r="I299" s="265"/>
    </row>
    <row r="300" spans="1:12" x14ac:dyDescent="0.2">
      <c r="A300" s="271" t="s">
        <v>109</v>
      </c>
      <c r="B300" s="272"/>
      <c r="C300" s="321"/>
      <c r="D300" s="273"/>
      <c r="E300" s="321"/>
      <c r="F300" s="273">
        <v>42470</v>
      </c>
      <c r="I300" s="265"/>
    </row>
    <row r="301" spans="1:12" x14ac:dyDescent="0.2">
      <c r="A301" s="271"/>
      <c r="B301" s="272"/>
      <c r="C301" s="274"/>
      <c r="D301" s="274"/>
      <c r="I301" s="265"/>
    </row>
    <row r="302" spans="1:12" ht="15.75" x14ac:dyDescent="0.25">
      <c r="B302" s="263"/>
      <c r="J302" s="275" t="s">
        <v>34</v>
      </c>
      <c r="K302" s="419" t="s">
        <v>35</v>
      </c>
      <c r="L302" s="420"/>
    </row>
    <row r="303" spans="1:12" ht="15.75" x14ac:dyDescent="0.25">
      <c r="A303" s="266" t="s">
        <v>36</v>
      </c>
      <c r="B303" s="276"/>
      <c r="C303" s="277" t="s">
        <v>80</v>
      </c>
      <c r="D303" s="278"/>
      <c r="E303" s="275" t="s">
        <v>38</v>
      </c>
      <c r="F303" s="275" t="s">
        <v>39</v>
      </c>
      <c r="G303" s="275" t="s">
        <v>40</v>
      </c>
      <c r="H303" s="279" t="s">
        <v>0</v>
      </c>
      <c r="I303" s="280"/>
      <c r="J303" s="277" t="s">
        <v>41</v>
      </c>
      <c r="K303" s="281" t="s">
        <v>42</v>
      </c>
      <c r="L303" s="275" t="s">
        <v>43</v>
      </c>
    </row>
    <row r="304" spans="1:12" ht="15.75" x14ac:dyDescent="0.25">
      <c r="A304" s="282"/>
      <c r="B304" s="276"/>
      <c r="C304" s="283"/>
      <c r="D304" s="278"/>
      <c r="E304" s="284"/>
      <c r="F304" s="285"/>
      <c r="G304" s="285"/>
      <c r="H304" s="286"/>
      <c r="I304" s="280"/>
      <c r="J304" s="287"/>
      <c r="K304" s="288"/>
      <c r="L304" s="289"/>
    </row>
    <row r="305" spans="1:12" x14ac:dyDescent="0.2">
      <c r="A305" s="264">
        <v>1</v>
      </c>
      <c r="B305" s="263" t="s">
        <v>44</v>
      </c>
      <c r="C305" s="290">
        <v>50000</v>
      </c>
      <c r="D305" s="265"/>
      <c r="E305" s="291"/>
      <c r="F305" s="292"/>
      <c r="G305" s="292">
        <f>+C305</f>
        <v>50000</v>
      </c>
      <c r="H305" s="293">
        <f>SUM(F305+G305)</f>
        <v>50000</v>
      </c>
      <c r="I305" s="265"/>
      <c r="J305" s="294">
        <f>+H305</f>
        <v>50000</v>
      </c>
      <c r="K305" s="292"/>
      <c r="L305" s="293"/>
    </row>
    <row r="306" spans="1:12" x14ac:dyDescent="0.2">
      <c r="B306" s="263"/>
      <c r="C306" s="290"/>
      <c r="D306" s="265"/>
      <c r="E306" s="291"/>
      <c r="F306" s="292"/>
      <c r="G306" s="292"/>
      <c r="H306" s="293"/>
      <c r="I306" s="265"/>
      <c r="J306" s="294"/>
      <c r="K306" s="292"/>
      <c r="L306" s="293"/>
    </row>
    <row r="307" spans="1:12" x14ac:dyDescent="0.2">
      <c r="A307" s="264">
        <v>2</v>
      </c>
      <c r="B307" s="263" t="s">
        <v>45</v>
      </c>
      <c r="C307" s="290">
        <v>89606</v>
      </c>
      <c r="D307" s="265"/>
      <c r="E307" s="291">
        <v>1</v>
      </c>
      <c r="F307" s="292">
        <f>+C307*E307</f>
        <v>89606</v>
      </c>
      <c r="G307" s="292"/>
      <c r="H307" s="293">
        <f>SUM(F307+G307)</f>
        <v>89606</v>
      </c>
      <c r="I307" s="265"/>
      <c r="J307" s="294">
        <f>+H307</f>
        <v>89606</v>
      </c>
      <c r="K307" s="292"/>
      <c r="L307" s="293"/>
    </row>
    <row r="308" spans="1:12" x14ac:dyDescent="0.2">
      <c r="B308" s="263"/>
      <c r="C308" s="290"/>
      <c r="D308" s="265"/>
      <c r="E308" s="291"/>
      <c r="F308" s="292"/>
      <c r="G308" s="292"/>
      <c r="H308" s="293"/>
      <c r="I308" s="265"/>
      <c r="J308" s="294"/>
      <c r="K308" s="292"/>
      <c r="L308" s="293"/>
    </row>
    <row r="309" spans="1:12" x14ac:dyDescent="0.2">
      <c r="A309" s="264">
        <v>3</v>
      </c>
      <c r="B309" s="301" t="s">
        <v>176</v>
      </c>
      <c r="C309" s="290">
        <v>69911</v>
      </c>
      <c r="D309" s="265"/>
      <c r="E309" s="291">
        <v>1</v>
      </c>
      <c r="F309" s="292">
        <f>+C309*E309</f>
        <v>69911</v>
      </c>
      <c r="G309" s="292"/>
      <c r="H309" s="293">
        <f>SUM(F309+G309)</f>
        <v>69911</v>
      </c>
      <c r="I309" s="265"/>
      <c r="J309" s="294"/>
      <c r="K309" s="292"/>
      <c r="L309" s="293">
        <f>$H$92</f>
        <v>69911</v>
      </c>
    </row>
    <row r="310" spans="1:12" x14ac:dyDescent="0.2">
      <c r="B310" s="263"/>
      <c r="C310" s="290"/>
      <c r="D310" s="265"/>
      <c r="E310" s="291"/>
      <c r="F310" s="292"/>
      <c r="G310" s="292"/>
      <c r="H310" s="293"/>
      <c r="I310" s="265"/>
      <c r="J310" s="294"/>
      <c r="K310" s="292"/>
      <c r="L310" s="293"/>
    </row>
    <row r="311" spans="1:12" x14ac:dyDescent="0.2">
      <c r="A311" s="264">
        <v>4</v>
      </c>
      <c r="B311" s="263" t="s">
        <v>46</v>
      </c>
      <c r="C311" s="290">
        <v>45865</v>
      </c>
      <c r="D311" s="265"/>
      <c r="E311" s="291">
        <v>1</v>
      </c>
      <c r="F311" s="292">
        <f>+C311*E311</f>
        <v>45865</v>
      </c>
      <c r="G311" s="292"/>
      <c r="H311" s="293">
        <f>SUM(F311+G311)</f>
        <v>45865</v>
      </c>
      <c r="I311" s="265"/>
      <c r="J311" s="294">
        <f>+H311</f>
        <v>45865</v>
      </c>
      <c r="K311" s="292"/>
      <c r="L311" s="293"/>
    </row>
    <row r="312" spans="1:12" x14ac:dyDescent="0.2">
      <c r="B312" s="263"/>
      <c r="C312" s="290"/>
      <c r="D312" s="265"/>
      <c r="E312" s="291"/>
      <c r="F312" s="292"/>
      <c r="G312" s="292"/>
      <c r="H312" s="293"/>
      <c r="I312" s="265"/>
      <c r="J312" s="294"/>
      <c r="K312" s="292"/>
      <c r="L312" s="293"/>
    </row>
    <row r="313" spans="1:12" x14ac:dyDescent="0.2">
      <c r="A313" s="264">
        <v>5</v>
      </c>
      <c r="B313" s="263" t="s">
        <v>47</v>
      </c>
      <c r="C313" s="290">
        <v>42470</v>
      </c>
      <c r="D313" s="265"/>
      <c r="E313" s="291">
        <v>1</v>
      </c>
      <c r="F313" s="292">
        <f>+C313*E313</f>
        <v>42470</v>
      </c>
      <c r="G313" s="292"/>
      <c r="H313" s="293">
        <f>SUM(F313+G313)</f>
        <v>42470</v>
      </c>
      <c r="I313" s="265"/>
      <c r="J313" s="294">
        <f>+H313</f>
        <v>42470</v>
      </c>
      <c r="K313" s="292"/>
      <c r="L313" s="293"/>
    </row>
    <row r="314" spans="1:12" x14ac:dyDescent="0.2">
      <c r="B314" s="263"/>
      <c r="C314" s="290"/>
      <c r="D314" s="265"/>
      <c r="E314" s="291"/>
      <c r="F314" s="292"/>
      <c r="G314" s="292"/>
      <c r="H314" s="293"/>
      <c r="I314" s="265"/>
      <c r="J314" s="294"/>
      <c r="K314" s="292"/>
      <c r="L314" s="293"/>
    </row>
    <row r="315" spans="1:12" x14ac:dyDescent="0.2">
      <c r="A315" s="264">
        <v>6</v>
      </c>
      <c r="B315" s="263" t="s">
        <v>113</v>
      </c>
      <c r="C315" s="290">
        <v>57775</v>
      </c>
      <c r="D315" s="265"/>
      <c r="E315" s="291">
        <v>1</v>
      </c>
      <c r="F315" s="292">
        <f>+C315*E315</f>
        <v>57775</v>
      </c>
      <c r="G315" s="292"/>
      <c r="H315" s="293">
        <f>SUM(F315+G315)</f>
        <v>57775</v>
      </c>
      <c r="I315" s="265"/>
      <c r="J315" s="294">
        <f>+H315</f>
        <v>57775</v>
      </c>
      <c r="K315" s="292"/>
      <c r="L315" s="293"/>
    </row>
    <row r="316" spans="1:12" x14ac:dyDescent="0.2">
      <c r="B316" s="263"/>
      <c r="C316" s="290"/>
      <c r="D316" s="265"/>
      <c r="E316" s="291"/>
      <c r="F316" s="292"/>
      <c r="G316" s="292"/>
      <c r="H316" s="293"/>
      <c r="I316" s="265"/>
      <c r="J316" s="294"/>
      <c r="K316" s="292"/>
      <c r="L316" s="293"/>
    </row>
    <row r="317" spans="1:12" x14ac:dyDescent="0.2">
      <c r="A317" s="264">
        <v>7</v>
      </c>
      <c r="B317" s="263" t="s">
        <v>151</v>
      </c>
      <c r="C317" s="273">
        <v>42470</v>
      </c>
      <c r="D317" s="265"/>
      <c r="E317" s="322">
        <f>ROUND(C294/100,0)</f>
        <v>0</v>
      </c>
      <c r="F317" s="292">
        <f>SUM(E317*C317)</f>
        <v>0</v>
      </c>
      <c r="G317" s="292"/>
      <c r="H317" s="293">
        <f>SUM(F317+G317)</f>
        <v>0</v>
      </c>
      <c r="I317" s="265"/>
      <c r="J317" s="293">
        <f>SUM(H317+I317)</f>
        <v>0</v>
      </c>
      <c r="K317" s="296"/>
      <c r="L317" s="297"/>
    </row>
    <row r="318" spans="1:12" x14ac:dyDescent="0.2">
      <c r="B318" s="263" t="s">
        <v>199</v>
      </c>
      <c r="C318" s="273"/>
      <c r="D318" s="265"/>
      <c r="E318" s="322"/>
      <c r="F318" s="292"/>
      <c r="G318" s="292">
        <v>10200</v>
      </c>
      <c r="H318" s="293">
        <v>10200</v>
      </c>
      <c r="I318" s="265"/>
      <c r="J318" s="292">
        <v>10200</v>
      </c>
      <c r="K318" s="292"/>
      <c r="L318" s="293"/>
    </row>
    <row r="319" spans="1:12" x14ac:dyDescent="0.2">
      <c r="A319" s="264">
        <v>8</v>
      </c>
      <c r="B319" s="263" t="s">
        <v>50</v>
      </c>
      <c r="C319" s="290">
        <v>15000</v>
      </c>
      <c r="D319" s="265"/>
      <c r="E319" s="291"/>
      <c r="F319" s="292"/>
      <c r="G319" s="292">
        <f>+C319</f>
        <v>15000</v>
      </c>
      <c r="H319" s="293">
        <f>SUM(F319+G319)</f>
        <v>15000</v>
      </c>
      <c r="I319" s="265"/>
      <c r="J319" s="323">
        <f>+H319</f>
        <v>15000</v>
      </c>
      <c r="K319" s="292"/>
      <c r="L319" s="293"/>
    </row>
    <row r="320" spans="1:12" x14ac:dyDescent="0.2">
      <c r="B320" s="263"/>
      <c r="C320" s="290"/>
      <c r="D320" s="265"/>
      <c r="E320" s="291"/>
      <c r="F320" s="292"/>
      <c r="G320" s="292"/>
      <c r="H320" s="293"/>
      <c r="I320" s="265"/>
      <c r="J320" s="323"/>
      <c r="K320" s="292"/>
      <c r="L320" s="293"/>
    </row>
    <row r="321" spans="1:12" x14ac:dyDescent="0.2">
      <c r="A321" s="264">
        <v>9</v>
      </c>
      <c r="B321" s="263" t="s">
        <v>51</v>
      </c>
      <c r="C321" s="290">
        <v>30000</v>
      </c>
      <c r="D321" s="265"/>
      <c r="E321" s="291"/>
      <c r="F321" s="292"/>
      <c r="G321" s="292">
        <f>+C321</f>
        <v>30000</v>
      </c>
      <c r="H321" s="293">
        <f>SUM(F321+G321)</f>
        <v>30000</v>
      </c>
      <c r="I321" s="265"/>
      <c r="J321" s="323">
        <f>+H321</f>
        <v>30000</v>
      </c>
      <c r="K321" s="292"/>
      <c r="L321" s="293"/>
    </row>
    <row r="322" spans="1:12" x14ac:dyDescent="0.2">
      <c r="B322" s="263"/>
      <c r="C322" s="290"/>
      <c r="D322" s="265"/>
      <c r="E322" s="291"/>
      <c r="F322" s="292"/>
      <c r="G322" s="292"/>
      <c r="H322" s="293"/>
      <c r="I322" s="265"/>
      <c r="J322" s="323"/>
      <c r="K322" s="292"/>
      <c r="L322" s="293"/>
    </row>
    <row r="323" spans="1:12" x14ac:dyDescent="0.2">
      <c r="A323" s="264">
        <v>10</v>
      </c>
      <c r="B323" s="263" t="s">
        <v>52</v>
      </c>
      <c r="C323" s="290">
        <v>40000</v>
      </c>
      <c r="D323" s="265"/>
      <c r="E323" s="291"/>
      <c r="F323" s="292"/>
      <c r="G323" s="292">
        <f>+C323</f>
        <v>40000</v>
      </c>
      <c r="H323" s="293">
        <f>SUM(F323+G323)</f>
        <v>40000</v>
      </c>
      <c r="I323" s="265"/>
      <c r="J323" s="323">
        <f>+H323</f>
        <v>40000</v>
      </c>
      <c r="K323" s="292"/>
      <c r="L323" s="293"/>
    </row>
    <row r="324" spans="1:12" x14ac:dyDescent="0.2">
      <c r="B324" s="263"/>
      <c r="C324" s="290"/>
      <c r="D324" s="265"/>
      <c r="E324" s="291"/>
      <c r="F324" s="292"/>
      <c r="G324" s="292"/>
      <c r="H324" s="293"/>
      <c r="I324" s="265"/>
      <c r="J324" s="294"/>
      <c r="K324" s="292"/>
      <c r="L324" s="293"/>
    </row>
    <row r="325" spans="1:12" x14ac:dyDescent="0.2">
      <c r="A325" s="264">
        <v>11</v>
      </c>
      <c r="B325" s="263" t="s">
        <v>53</v>
      </c>
      <c r="C325" s="290"/>
      <c r="D325" s="265"/>
      <c r="E325" s="291"/>
      <c r="F325" s="292"/>
      <c r="G325" s="292">
        <f>ROUND((F307+F309+F311+F313+F315+F327+F331+F333+F338+F340+F342+F344+F317+F346+F335)*0.15,0)</f>
        <v>188306</v>
      </c>
      <c r="H325" s="293">
        <f>SUM(G325)</f>
        <v>188306</v>
      </c>
      <c r="I325" s="265"/>
      <c r="J325" s="323">
        <f>ROUND((SUM(F307:F317)*0.15),0)</f>
        <v>45844</v>
      </c>
      <c r="K325" s="324">
        <f>ROUND(SUM(F327:F342,F344)*0.15,0)</f>
        <v>123396</v>
      </c>
      <c r="L325" s="325">
        <f>ROUND(F346*0.15,0)</f>
        <v>19067</v>
      </c>
    </row>
    <row r="326" spans="1:12" x14ac:dyDescent="0.2">
      <c r="B326" s="263"/>
      <c r="C326" s="290"/>
      <c r="D326" s="265"/>
      <c r="E326" s="291"/>
      <c r="F326" s="292"/>
      <c r="G326" s="292"/>
      <c r="H326" s="293"/>
      <c r="I326" s="265"/>
      <c r="J326" s="294"/>
      <c r="K326" s="296"/>
      <c r="L326" s="297"/>
    </row>
    <row r="327" spans="1:12" x14ac:dyDescent="0.2">
      <c r="A327" s="264">
        <v>12</v>
      </c>
      <c r="B327" s="263" t="s">
        <v>54</v>
      </c>
      <c r="C327" s="290"/>
      <c r="D327" s="265"/>
      <c r="E327" s="291"/>
      <c r="F327" s="292">
        <f>(F307+F309+F311+F313+F331+F315+F333++F338+F340+F342+F346+F317+F344+F335)*0.2045</f>
        <v>213137.81414999999</v>
      </c>
      <c r="G327" s="292"/>
      <c r="H327" s="293">
        <f>(F307+F309+F311+F313+F315+F331+F333+F338+F340+F342+F346+F317+F344+F335)*0.2045</f>
        <v>213137.81414999999</v>
      </c>
      <c r="I327" s="265"/>
      <c r="J327" s="323">
        <f>ROUND((SUM(F307:F317)*0.2045),0)</f>
        <v>62501</v>
      </c>
      <c r="K327" s="324">
        <f>ROUND((SUM(F331:F344)*0.2045),0)</f>
        <v>124643</v>
      </c>
      <c r="L327" s="325">
        <f>ROUND(F346*0.2045,0)</f>
        <v>25994</v>
      </c>
    </row>
    <row r="328" spans="1:12" x14ac:dyDescent="0.2">
      <c r="B328" s="263"/>
      <c r="C328" s="290"/>
      <c r="D328" s="265"/>
      <c r="E328" s="291"/>
      <c r="F328" s="292"/>
      <c r="G328" s="292"/>
      <c r="H328" s="293"/>
      <c r="I328" s="265"/>
      <c r="J328" s="294"/>
      <c r="K328" s="296"/>
      <c r="L328" s="297"/>
    </row>
    <row r="329" spans="1:12" x14ac:dyDescent="0.2">
      <c r="A329" s="264">
        <v>13</v>
      </c>
      <c r="B329" s="263" t="s">
        <v>55</v>
      </c>
      <c r="C329" s="290">
        <v>2000</v>
      </c>
      <c r="D329" s="265"/>
      <c r="E329" s="291"/>
      <c r="F329" s="292"/>
      <c r="G329" s="292">
        <f>E354*2000</f>
        <v>32000</v>
      </c>
      <c r="H329" s="293">
        <f t="shared" ref="H329" si="29">SUM(F329+G329)</f>
        <v>32000</v>
      </c>
      <c r="I329" s="265"/>
      <c r="J329" s="294">
        <f>(E307+E309+E311+E313+E315+E317)*2000</f>
        <v>10000</v>
      </c>
      <c r="K329" s="296">
        <f>ROUND(SUM(E333,E338,E340,E342,E344,E335)*2000,0)</f>
        <v>18000</v>
      </c>
      <c r="L329" s="297">
        <f>ROUND(E346*2000,0)</f>
        <v>4000</v>
      </c>
    </row>
    <row r="330" spans="1:12" x14ac:dyDescent="0.2">
      <c r="B330" s="263"/>
      <c r="C330" s="290"/>
      <c r="D330" s="265"/>
      <c r="E330" s="291"/>
      <c r="F330" s="292"/>
      <c r="G330" s="292"/>
      <c r="H330" s="293"/>
      <c r="I330" s="265"/>
      <c r="J330" s="294"/>
      <c r="K330" s="296"/>
      <c r="L330" s="297"/>
    </row>
    <row r="331" spans="1:12" ht="36.75" customHeight="1" x14ac:dyDescent="0.2">
      <c r="A331" s="264">
        <v>14</v>
      </c>
      <c r="B331" s="263" t="s">
        <v>114</v>
      </c>
      <c r="C331" s="290"/>
      <c r="D331" s="265"/>
      <c r="E331" s="291"/>
      <c r="F331" s="292">
        <f>(F338+F342+F344+F333+F335+F346+F340)*0.1</f>
        <v>66964.7</v>
      </c>
      <c r="G331" s="292"/>
      <c r="H331" s="293">
        <f>SUM(F331+G331)</f>
        <v>66964.7</v>
      </c>
      <c r="I331" s="265"/>
      <c r="J331" s="294"/>
      <c r="K331" s="296">
        <f>ROUND((+F333+F338+F342+F344+F335+F340)*0.1,0)</f>
        <v>54254</v>
      </c>
      <c r="L331" s="297">
        <f>ROUND(F346*0.1,0)</f>
        <v>12711</v>
      </c>
    </row>
    <row r="332" spans="1:12" x14ac:dyDescent="0.2">
      <c r="B332" s="263"/>
      <c r="C332" s="290"/>
      <c r="D332" s="265"/>
      <c r="E332" s="291"/>
      <c r="F332" s="292"/>
      <c r="G332" s="292"/>
      <c r="H332" s="293"/>
      <c r="I332" s="265"/>
      <c r="J332" s="294"/>
      <c r="K332" s="292"/>
      <c r="L332" s="293"/>
    </row>
    <row r="333" spans="1:12" x14ac:dyDescent="0.2">
      <c r="A333" s="264">
        <v>15</v>
      </c>
      <c r="B333" s="263" t="s">
        <v>57</v>
      </c>
      <c r="C333" s="290">
        <v>69911</v>
      </c>
      <c r="D333" s="265"/>
      <c r="E333" s="326">
        <f>ROUND((E346+E342+E340+E338+E344+E335)/6,0)</f>
        <v>2</v>
      </c>
      <c r="F333" s="292">
        <f>F299*E333</f>
        <v>139822</v>
      </c>
      <c r="G333" s="292"/>
      <c r="H333" s="293">
        <f t="shared" ref="H333" si="30">SUM(F333+G333)</f>
        <v>139822</v>
      </c>
      <c r="I333" s="265"/>
      <c r="J333" s="291"/>
      <c r="K333" s="296">
        <f>ROUND(F333*((+E$49+E$51+E$53)/(E$49+E$51+E$53+E$55)),0)</f>
        <v>88077</v>
      </c>
      <c r="L333" s="297">
        <f>ROUND((+F333*(E$55/(+E$49+E$51+E$53+E$55))),0)</f>
        <v>51745</v>
      </c>
    </row>
    <row r="334" spans="1:12" x14ac:dyDescent="0.2">
      <c r="B334" s="263"/>
      <c r="C334" s="290"/>
      <c r="D334" s="265"/>
      <c r="E334" s="291"/>
      <c r="F334" s="292"/>
      <c r="G334" s="292"/>
      <c r="H334" s="293"/>
      <c r="I334" s="265"/>
      <c r="J334" s="294"/>
      <c r="K334" s="292"/>
      <c r="L334" s="293"/>
    </row>
    <row r="335" spans="1:12" x14ac:dyDescent="0.2">
      <c r="A335" s="301">
        <v>16</v>
      </c>
      <c r="B335" s="301" t="s">
        <v>160</v>
      </c>
      <c r="C335" s="290">
        <v>42470</v>
      </c>
      <c r="D335" s="265"/>
      <c r="E335" s="326">
        <f>ROUNDUP((E346+E342+E340+E338+E344)/6,0)</f>
        <v>2</v>
      </c>
      <c r="F335" s="327">
        <f>F300*E335</f>
        <v>84940</v>
      </c>
      <c r="H335" s="293">
        <f t="shared" ref="H335" si="31">SUM(F335+G335)</f>
        <v>84940</v>
      </c>
      <c r="I335" s="265"/>
      <c r="J335" s="294"/>
      <c r="K335" s="296">
        <f>ROUND(F335*((+E$49+E$51+E$53)/(E$49+E$51+E$53+E$55)),0)</f>
        <v>53506</v>
      </c>
      <c r="L335" s="297">
        <f>ROUND((+F335*(E$55/(+E$49+E$51+E$53+E$55))),0)</f>
        <v>31434</v>
      </c>
    </row>
    <row r="336" spans="1:12" x14ac:dyDescent="0.2">
      <c r="B336" s="263"/>
      <c r="C336" s="290"/>
      <c r="D336" s="265"/>
      <c r="E336" s="291"/>
      <c r="F336" s="292"/>
      <c r="G336" s="292"/>
      <c r="H336" s="293"/>
      <c r="I336" s="265"/>
      <c r="J336" s="294"/>
      <c r="K336" s="292"/>
      <c r="L336" s="293"/>
    </row>
    <row r="337" spans="1:12" ht="15.75" x14ac:dyDescent="0.25">
      <c r="A337" s="282" t="s">
        <v>115</v>
      </c>
      <c r="B337" s="263"/>
      <c r="C337" s="290"/>
      <c r="D337" s="265"/>
      <c r="E337" s="291"/>
      <c r="F337" s="292"/>
      <c r="G337" s="292"/>
      <c r="H337" s="293"/>
      <c r="I337" s="265"/>
      <c r="J337" s="294"/>
      <c r="K337" s="292"/>
      <c r="L337" s="293"/>
    </row>
    <row r="338" spans="1:12" x14ac:dyDescent="0.2">
      <c r="A338" s="300">
        <v>17</v>
      </c>
      <c r="B338" s="301" t="s">
        <v>60</v>
      </c>
      <c r="C338" s="302">
        <v>63555</v>
      </c>
      <c r="D338" s="303"/>
      <c r="E338" s="304">
        <f>ROUND(C294/30,0)</f>
        <v>1</v>
      </c>
      <c r="F338" s="305">
        <f>F298*E338</f>
        <v>63555</v>
      </c>
      <c r="G338" s="305"/>
      <c r="H338" s="293">
        <f t="shared" ref="H338" si="32">SUM(F338+G338)</f>
        <v>63555</v>
      </c>
      <c r="I338" s="303"/>
      <c r="J338" s="306"/>
      <c r="K338" s="292">
        <f>SUM(E338*F298)</f>
        <v>63555</v>
      </c>
      <c r="L338" s="293"/>
    </row>
    <row r="339" spans="1:12" x14ac:dyDescent="0.2">
      <c r="A339" s="301"/>
      <c r="B339" s="301"/>
      <c r="C339" s="290"/>
      <c r="D339" s="265"/>
      <c r="E339" s="291"/>
      <c r="F339" s="292"/>
      <c r="G339" s="292"/>
      <c r="H339" s="293"/>
      <c r="I339" s="265"/>
      <c r="J339" s="294"/>
      <c r="K339" s="292"/>
      <c r="L339" s="293"/>
    </row>
    <row r="340" spans="1:12" ht="30" x14ac:dyDescent="0.2">
      <c r="A340" s="300">
        <v>18</v>
      </c>
      <c r="B340" s="301" t="s">
        <v>61</v>
      </c>
      <c r="C340" s="290">
        <v>63555</v>
      </c>
      <c r="D340" s="265"/>
      <c r="E340" s="291">
        <f>1</f>
        <v>1</v>
      </c>
      <c r="F340" s="292">
        <f>F298*E340</f>
        <v>63555</v>
      </c>
      <c r="G340" s="292"/>
      <c r="H340" s="293">
        <f t="shared" ref="H340" si="33">SUM(F340+G340)</f>
        <v>63555</v>
      </c>
      <c r="I340" s="265"/>
      <c r="J340" s="294" t="s">
        <v>62</v>
      </c>
      <c r="K340" s="292">
        <f>SUM(E340*F298)</f>
        <v>63555</v>
      </c>
      <c r="L340" s="293"/>
    </row>
    <row r="341" spans="1:12" x14ac:dyDescent="0.2">
      <c r="A341" s="301"/>
      <c r="B341" s="301"/>
      <c r="C341" s="290"/>
      <c r="D341" s="265"/>
      <c r="E341" s="291"/>
      <c r="F341" s="292"/>
      <c r="G341" s="292"/>
      <c r="H341" s="293"/>
      <c r="I341" s="265"/>
      <c r="J341" s="294"/>
      <c r="K341" s="292"/>
      <c r="L341" s="293"/>
    </row>
    <row r="342" spans="1:12" x14ac:dyDescent="0.2">
      <c r="A342" s="301">
        <v>19</v>
      </c>
      <c r="B342" s="301" t="s">
        <v>63</v>
      </c>
      <c r="C342" s="290">
        <v>63555</v>
      </c>
      <c r="D342" s="265"/>
      <c r="E342" s="291">
        <f>ROUND(C294/20,0)</f>
        <v>2</v>
      </c>
      <c r="F342" s="292">
        <f>F298*E342</f>
        <v>127110</v>
      </c>
      <c r="G342" s="292"/>
      <c r="H342" s="293">
        <f t="shared" ref="H342" si="34">SUM(F342+G342)</f>
        <v>127110</v>
      </c>
      <c r="I342" s="265"/>
      <c r="J342" s="294"/>
      <c r="K342" s="292">
        <f>SUM(E342*F298)</f>
        <v>127110</v>
      </c>
      <c r="L342" s="293"/>
    </row>
    <row r="343" spans="1:12" x14ac:dyDescent="0.2">
      <c r="A343" s="301"/>
      <c r="B343" s="301"/>
      <c r="C343" s="290"/>
      <c r="D343" s="265"/>
      <c r="E343" s="291"/>
      <c r="F343" s="292"/>
      <c r="G343" s="292"/>
      <c r="H343" s="293"/>
      <c r="I343" s="265"/>
      <c r="J343" s="294"/>
      <c r="K343" s="292"/>
      <c r="L343" s="293"/>
    </row>
    <row r="344" spans="1:12" x14ac:dyDescent="0.2">
      <c r="A344" s="301">
        <v>20</v>
      </c>
      <c r="B344" s="301" t="s">
        <v>111</v>
      </c>
      <c r="C344" s="290">
        <v>63555</v>
      </c>
      <c r="D344" s="265"/>
      <c r="E344" s="328">
        <f>ROUNDDOWN(C295/40,0)</f>
        <v>1</v>
      </c>
      <c r="F344" s="292">
        <f>F298*E344</f>
        <v>63555</v>
      </c>
      <c r="G344" s="292"/>
      <c r="H344" s="293">
        <f t="shared" ref="H344" si="35">SUM(F344+G344)</f>
        <v>63555</v>
      </c>
      <c r="I344" s="290"/>
      <c r="K344" s="265">
        <f>SUM(E344*F298)</f>
        <v>63555</v>
      </c>
      <c r="L344" s="329"/>
    </row>
    <row r="345" spans="1:12" x14ac:dyDescent="0.2">
      <c r="A345" s="301"/>
      <c r="B345" s="301"/>
      <c r="C345" s="290"/>
      <c r="D345" s="265"/>
      <c r="E345" s="291"/>
      <c r="F345" s="292"/>
      <c r="G345" s="292"/>
      <c r="H345" s="293"/>
      <c r="I345" s="290"/>
      <c r="L345" s="329"/>
    </row>
    <row r="346" spans="1:12" x14ac:dyDescent="0.2">
      <c r="A346" s="301">
        <v>21</v>
      </c>
      <c r="B346" s="301" t="s">
        <v>112</v>
      </c>
      <c r="C346" s="290">
        <v>63555</v>
      </c>
      <c r="D346" s="265"/>
      <c r="E346" s="328">
        <f>ROUND(C295/20,0)</f>
        <v>2</v>
      </c>
      <c r="F346" s="292">
        <f>SUM(E346*F298)</f>
        <v>127110</v>
      </c>
      <c r="H346" s="293">
        <f t="shared" ref="H346" si="36">SUM(F346+G346)</f>
        <v>127110</v>
      </c>
      <c r="I346" s="290"/>
      <c r="K346" s="265"/>
      <c r="L346" s="293">
        <f>SUM(H346)</f>
        <v>127110</v>
      </c>
    </row>
    <row r="347" spans="1:12" x14ac:dyDescent="0.2">
      <c r="A347" s="301"/>
      <c r="B347" s="301"/>
      <c r="C347" s="290"/>
      <c r="D347" s="265"/>
      <c r="E347" s="291"/>
      <c r="F347" s="292"/>
      <c r="H347" s="293"/>
      <c r="I347" s="290"/>
      <c r="L347" s="329"/>
    </row>
    <row r="348" spans="1:12" x14ac:dyDescent="0.2">
      <c r="A348" s="301">
        <v>22</v>
      </c>
      <c r="B348" s="301" t="s">
        <v>155</v>
      </c>
      <c r="C348" s="295"/>
      <c r="D348" s="307"/>
      <c r="E348" s="291"/>
      <c r="F348" s="292"/>
      <c r="G348" s="292">
        <f>ROUND(175*C293,0)</f>
        <v>119175</v>
      </c>
      <c r="H348" s="293">
        <f t="shared" ref="H348" si="37">SUM(F348+G348)</f>
        <v>119175</v>
      </c>
      <c r="I348" s="265"/>
      <c r="J348" s="294" t="s">
        <v>62</v>
      </c>
      <c r="K348" s="292">
        <f>ROUND(175/2*C293,0)</f>
        <v>59588</v>
      </c>
      <c r="L348" s="293">
        <f>ROUND(175/2*C293,0)</f>
        <v>59588</v>
      </c>
    </row>
    <row r="349" spans="1:12" x14ac:dyDescent="0.2">
      <c r="A349" s="301"/>
      <c r="B349" s="301"/>
      <c r="C349" s="290"/>
      <c r="D349" s="265"/>
      <c r="E349" s="291"/>
      <c r="F349" s="292"/>
      <c r="G349" s="292"/>
      <c r="H349" s="293"/>
      <c r="I349" s="265"/>
      <c r="J349" s="294"/>
      <c r="K349" s="292"/>
      <c r="L349" s="293"/>
    </row>
    <row r="350" spans="1:12" x14ac:dyDescent="0.2">
      <c r="A350" s="301">
        <v>23</v>
      </c>
      <c r="B350" s="301" t="s">
        <v>66</v>
      </c>
      <c r="C350" s="290">
        <v>11500</v>
      </c>
      <c r="D350" s="265"/>
      <c r="E350" s="291"/>
      <c r="F350" s="292"/>
      <c r="G350" s="292">
        <f>(E307+E333+E344+E338+E340+E342+E346+E335)*11500</f>
        <v>138000</v>
      </c>
      <c r="H350" s="293">
        <f>SUM(F350:G350)</f>
        <v>138000</v>
      </c>
      <c r="I350" s="265"/>
      <c r="J350" s="323">
        <f>ROUND(11500*E307,0)</f>
        <v>11500</v>
      </c>
      <c r="K350" s="296">
        <f>(ROUND(11500*(+E342+E340+E338+E344+E333+E335),0))</f>
        <v>103500</v>
      </c>
      <c r="L350" s="297">
        <f>ROUND(11500*E346,0)</f>
        <v>23000</v>
      </c>
    </row>
    <row r="351" spans="1:12" x14ac:dyDescent="0.2">
      <c r="A351" s="301"/>
      <c r="B351" s="301"/>
      <c r="C351" s="290"/>
      <c r="D351" s="265"/>
      <c r="E351" s="291"/>
      <c r="G351" s="292"/>
      <c r="H351" s="293"/>
      <c r="J351" s="294"/>
      <c r="K351" s="296"/>
      <c r="L351" s="297"/>
    </row>
    <row r="352" spans="1:12" x14ac:dyDescent="0.2">
      <c r="A352" s="301">
        <v>24</v>
      </c>
      <c r="B352" s="301" t="s">
        <v>82</v>
      </c>
      <c r="C352" s="290"/>
      <c r="D352" s="265"/>
      <c r="E352" s="291"/>
      <c r="G352" s="292">
        <v>10350</v>
      </c>
      <c r="H352" s="292">
        <v>10350</v>
      </c>
      <c r="I352" s="330"/>
      <c r="J352" s="292"/>
      <c r="K352" s="296"/>
      <c r="L352" s="297">
        <f>+H352</f>
        <v>10350</v>
      </c>
    </row>
    <row r="353" spans="1:12" ht="15.75" thickBot="1" x14ac:dyDescent="0.25">
      <c r="B353" s="331"/>
      <c r="C353" s="332"/>
      <c r="D353" s="265"/>
      <c r="E353" s="291"/>
      <c r="H353" s="293"/>
      <c r="I353" s="333"/>
      <c r="J353" s="265"/>
      <c r="L353" s="293"/>
    </row>
    <row r="354" spans="1:12" ht="16.5" thickBot="1" x14ac:dyDescent="0.3">
      <c r="B354" s="334" t="s">
        <v>67</v>
      </c>
      <c r="C354" s="335"/>
      <c r="D354" s="336"/>
      <c r="E354" s="337">
        <f>SUM(E304:E353)</f>
        <v>16</v>
      </c>
      <c r="F354" s="336">
        <f>SUM(F304:F352)</f>
        <v>1255376.5141499999</v>
      </c>
      <c r="G354" s="336">
        <f>SUM(G305:G352)</f>
        <v>633031</v>
      </c>
      <c r="H354" s="338">
        <f>SUM(H305:H353)</f>
        <v>1888407.5141499999</v>
      </c>
      <c r="I354" s="336"/>
      <c r="J354" s="339">
        <f>SUM(J305:J352)</f>
        <v>510761</v>
      </c>
      <c r="K354" s="336">
        <f>SUM(K305:K353)</f>
        <v>942739</v>
      </c>
      <c r="L354" s="340">
        <f>SUM(L304:L353)</f>
        <v>434910</v>
      </c>
    </row>
    <row r="355" spans="1:12" x14ac:dyDescent="0.2">
      <c r="C355" s="272"/>
      <c r="D355" s="272"/>
      <c r="G355" s="264" t="s">
        <v>206</v>
      </c>
      <c r="J355" s="345">
        <f>SUM(J354*0.875)</f>
        <v>446915.875</v>
      </c>
    </row>
    <row r="357" spans="1:12" x14ac:dyDescent="0.2">
      <c r="A357" s="262"/>
      <c r="B357" s="263"/>
    </row>
    <row r="358" spans="1:12" ht="15.75" x14ac:dyDescent="0.25">
      <c r="A358" s="266" t="s">
        <v>24</v>
      </c>
      <c r="B358" s="267"/>
      <c r="C358" s="320" t="s">
        <v>88</v>
      </c>
    </row>
    <row r="359" spans="1:12" ht="15.75" x14ac:dyDescent="0.25">
      <c r="A359" s="266" t="s">
        <v>106</v>
      </c>
      <c r="B359" s="263"/>
    </row>
    <row r="360" spans="1:12" x14ac:dyDescent="0.2">
      <c r="B360" s="263"/>
      <c r="C360" s="268"/>
      <c r="D360" s="268"/>
    </row>
    <row r="361" spans="1:12" x14ac:dyDescent="0.2">
      <c r="B361" s="263"/>
      <c r="C361" s="269"/>
      <c r="D361" s="269"/>
    </row>
    <row r="362" spans="1:12" ht="15.75" x14ac:dyDescent="0.25">
      <c r="A362" s="264" t="s">
        <v>27</v>
      </c>
      <c r="B362" s="263"/>
      <c r="C362" s="348">
        <v>1610</v>
      </c>
      <c r="D362" s="270" t="s">
        <v>79</v>
      </c>
      <c r="E362" s="271"/>
    </row>
    <row r="363" spans="1:12" ht="15.75" x14ac:dyDescent="0.25">
      <c r="A363" s="264" t="s">
        <v>28</v>
      </c>
      <c r="B363" s="263"/>
      <c r="C363" s="348">
        <f>SUM(C362*0.06)</f>
        <v>96.6</v>
      </c>
      <c r="D363" s="268"/>
      <c r="E363" s="271"/>
    </row>
    <row r="364" spans="1:12" ht="15.75" x14ac:dyDescent="0.25">
      <c r="A364" s="264" t="s">
        <v>29</v>
      </c>
      <c r="B364" s="263"/>
      <c r="C364" s="348">
        <v>107.33333333333333</v>
      </c>
      <c r="D364" s="270"/>
      <c r="E364" s="271"/>
    </row>
    <row r="365" spans="1:12" ht="15.75" x14ac:dyDescent="0.25">
      <c r="B365" s="263" t="s">
        <v>30</v>
      </c>
      <c r="C365" s="348">
        <v>5</v>
      </c>
      <c r="D365" s="268"/>
      <c r="E365" s="271"/>
    </row>
    <row r="366" spans="1:12" x14ac:dyDescent="0.2">
      <c r="B366" s="263"/>
    </row>
    <row r="367" spans="1:12" x14ac:dyDescent="0.2">
      <c r="A367" s="349" t="s">
        <v>107</v>
      </c>
      <c r="B367" s="350"/>
      <c r="C367" s="351"/>
      <c r="D367" s="352"/>
      <c r="E367" s="351"/>
      <c r="F367" s="352">
        <v>63555</v>
      </c>
      <c r="G367" s="351"/>
      <c r="H367" s="353"/>
      <c r="I367" s="353"/>
      <c r="J367" s="351"/>
      <c r="K367" s="351"/>
      <c r="L367" s="351"/>
    </row>
    <row r="368" spans="1:12" x14ac:dyDescent="0.2">
      <c r="A368" s="349" t="s">
        <v>108</v>
      </c>
      <c r="B368" s="350"/>
      <c r="C368" s="351"/>
      <c r="D368" s="352"/>
      <c r="E368" s="351"/>
      <c r="F368" s="352">
        <v>69911</v>
      </c>
      <c r="G368" s="351"/>
      <c r="H368" s="353"/>
      <c r="I368" s="353"/>
      <c r="J368" s="351"/>
      <c r="K368" s="351"/>
      <c r="L368" s="351"/>
    </row>
    <row r="369" spans="1:12" x14ac:dyDescent="0.2">
      <c r="A369" s="349" t="s">
        <v>109</v>
      </c>
      <c r="B369" s="350"/>
      <c r="C369" s="351"/>
      <c r="D369" s="352"/>
      <c r="E369" s="351"/>
      <c r="F369" s="352">
        <v>42470</v>
      </c>
      <c r="G369" s="351"/>
      <c r="H369" s="353"/>
      <c r="I369" s="353"/>
      <c r="J369" s="351"/>
      <c r="K369" s="351"/>
      <c r="L369" s="351"/>
    </row>
    <row r="370" spans="1:12" x14ac:dyDescent="0.2">
      <c r="A370" s="271"/>
      <c r="B370" s="272"/>
      <c r="C370" s="274"/>
      <c r="D370" s="274"/>
      <c r="I370" s="265"/>
    </row>
    <row r="371" spans="1:12" ht="15.75" x14ac:dyDescent="0.25">
      <c r="B371" s="263"/>
      <c r="J371" s="275" t="s">
        <v>34</v>
      </c>
      <c r="K371" s="419" t="s">
        <v>35</v>
      </c>
      <c r="L371" s="420"/>
    </row>
    <row r="372" spans="1:12" ht="15.75" x14ac:dyDescent="0.25">
      <c r="A372" s="266" t="s">
        <v>36</v>
      </c>
      <c r="B372" s="276"/>
      <c r="C372" s="277" t="s">
        <v>80</v>
      </c>
      <c r="D372" s="278"/>
      <c r="E372" s="275" t="s">
        <v>38</v>
      </c>
      <c r="F372" s="275" t="s">
        <v>39</v>
      </c>
      <c r="G372" s="275" t="s">
        <v>40</v>
      </c>
      <c r="H372" s="279" t="s">
        <v>0</v>
      </c>
      <c r="I372" s="280"/>
      <c r="J372" s="277" t="s">
        <v>41</v>
      </c>
      <c r="K372" s="281" t="s">
        <v>42</v>
      </c>
      <c r="L372" s="275" t="s">
        <v>43</v>
      </c>
    </row>
    <row r="373" spans="1:12" ht="15.75" x14ac:dyDescent="0.25">
      <c r="A373" s="282"/>
      <c r="B373" s="276"/>
      <c r="C373" s="283"/>
      <c r="D373" s="278"/>
      <c r="E373" s="284"/>
      <c r="F373" s="285"/>
      <c r="G373" s="285"/>
      <c r="H373" s="286"/>
      <c r="I373" s="280"/>
      <c r="J373" s="287"/>
      <c r="K373" s="288"/>
      <c r="L373" s="289"/>
    </row>
    <row r="374" spans="1:12" x14ac:dyDescent="0.2">
      <c r="A374" s="264">
        <v>1</v>
      </c>
      <c r="B374" s="263" t="s">
        <v>44</v>
      </c>
      <c r="C374" s="290">
        <v>50000</v>
      </c>
      <c r="D374" s="265"/>
      <c r="E374" s="291"/>
      <c r="F374" s="292"/>
      <c r="G374" s="292">
        <f>+C374</f>
        <v>50000</v>
      </c>
      <c r="H374" s="293">
        <f>SUM(F374+G374)</f>
        <v>50000</v>
      </c>
      <c r="I374" s="265"/>
      <c r="J374" s="294">
        <f>+H374</f>
        <v>50000</v>
      </c>
      <c r="K374" s="292"/>
      <c r="L374" s="293"/>
    </row>
    <row r="375" spans="1:12" x14ac:dyDescent="0.2">
      <c r="B375" s="263"/>
      <c r="C375" s="290"/>
      <c r="D375" s="265"/>
      <c r="E375" s="291"/>
      <c r="F375" s="292"/>
      <c r="G375" s="292"/>
      <c r="H375" s="293"/>
      <c r="I375" s="265"/>
      <c r="J375" s="294"/>
      <c r="K375" s="292"/>
      <c r="L375" s="293"/>
    </row>
    <row r="376" spans="1:12" x14ac:dyDescent="0.2">
      <c r="A376" s="264">
        <v>2</v>
      </c>
      <c r="B376" s="263" t="s">
        <v>45</v>
      </c>
      <c r="C376" s="290">
        <v>89606</v>
      </c>
      <c r="D376" s="265"/>
      <c r="E376" s="291">
        <v>1</v>
      </c>
      <c r="F376" s="292">
        <f>+C376*E376</f>
        <v>89606</v>
      </c>
      <c r="G376" s="292"/>
      <c r="H376" s="293">
        <f>SUM(F376+G376)</f>
        <v>89606</v>
      </c>
      <c r="I376" s="265"/>
      <c r="J376" s="294">
        <f>+H376</f>
        <v>89606</v>
      </c>
      <c r="K376" s="292"/>
      <c r="L376" s="293"/>
    </row>
    <row r="377" spans="1:12" x14ac:dyDescent="0.2">
      <c r="B377" s="263"/>
      <c r="C377" s="290"/>
      <c r="D377" s="265"/>
      <c r="E377" s="291"/>
      <c r="F377" s="292"/>
      <c r="G377" s="292"/>
      <c r="H377" s="293"/>
      <c r="I377" s="265"/>
      <c r="J377" s="294"/>
      <c r="K377" s="292"/>
      <c r="L377" s="293"/>
    </row>
    <row r="378" spans="1:12" ht="32.25" customHeight="1" x14ac:dyDescent="0.2">
      <c r="A378" s="264">
        <v>3</v>
      </c>
      <c r="B378" s="301" t="s">
        <v>176</v>
      </c>
      <c r="C378" s="290">
        <v>69911</v>
      </c>
      <c r="D378" s="265"/>
      <c r="E378" s="291">
        <v>1</v>
      </c>
      <c r="F378" s="292">
        <f>+C378*E378</f>
        <v>69911</v>
      </c>
      <c r="G378" s="292"/>
      <c r="H378" s="293">
        <f>SUM(F378+G378)</f>
        <v>69911</v>
      </c>
      <c r="I378" s="265"/>
      <c r="J378" s="294"/>
      <c r="K378" s="292"/>
      <c r="L378" s="293">
        <f>$H$92</f>
        <v>69911</v>
      </c>
    </row>
    <row r="379" spans="1:12" x14ac:dyDescent="0.2">
      <c r="B379" s="263"/>
      <c r="C379" s="290"/>
      <c r="D379" s="265"/>
      <c r="E379" s="291"/>
      <c r="F379" s="292"/>
      <c r="G379" s="292"/>
      <c r="H379" s="293"/>
      <c r="I379" s="265"/>
      <c r="J379" s="294"/>
      <c r="K379" s="292"/>
      <c r="L379" s="293"/>
    </row>
    <row r="380" spans="1:12" x14ac:dyDescent="0.2">
      <c r="A380" s="264">
        <v>4</v>
      </c>
      <c r="B380" s="263" t="s">
        <v>46</v>
      </c>
      <c r="C380" s="290">
        <v>45865</v>
      </c>
      <c r="D380" s="265"/>
      <c r="E380" s="291">
        <v>1</v>
      </c>
      <c r="F380" s="292">
        <f>+C380*E380</f>
        <v>45865</v>
      </c>
      <c r="G380" s="292"/>
      <c r="H380" s="293">
        <f>SUM(F380+G380)</f>
        <v>45865</v>
      </c>
      <c r="I380" s="265"/>
      <c r="J380" s="294">
        <f>+H380</f>
        <v>45865</v>
      </c>
      <c r="K380" s="292"/>
      <c r="L380" s="293"/>
    </row>
    <row r="381" spans="1:12" x14ac:dyDescent="0.2">
      <c r="B381" s="263"/>
      <c r="C381" s="290"/>
      <c r="D381" s="265"/>
      <c r="E381" s="291"/>
      <c r="F381" s="292"/>
      <c r="G381" s="292"/>
      <c r="H381" s="293"/>
      <c r="I381" s="265"/>
      <c r="J381" s="294"/>
      <c r="K381" s="292"/>
      <c r="L381" s="293"/>
    </row>
    <row r="382" spans="1:12" x14ac:dyDescent="0.2">
      <c r="A382" s="264">
        <v>5</v>
      </c>
      <c r="B382" s="263" t="s">
        <v>47</v>
      </c>
      <c r="C382" s="290">
        <v>42470</v>
      </c>
      <c r="D382" s="265"/>
      <c r="E382" s="291">
        <v>1</v>
      </c>
      <c r="F382" s="292">
        <f>+C382*E382</f>
        <v>42470</v>
      </c>
      <c r="G382" s="292"/>
      <c r="H382" s="293">
        <f>SUM(F382+G382)</f>
        <v>42470</v>
      </c>
      <c r="I382" s="265"/>
      <c r="J382" s="294">
        <f>+H382</f>
        <v>42470</v>
      </c>
      <c r="K382" s="292"/>
      <c r="L382" s="293"/>
    </row>
    <row r="383" spans="1:12" x14ac:dyDescent="0.2">
      <c r="B383" s="263"/>
      <c r="C383" s="290"/>
      <c r="D383" s="265"/>
      <c r="E383" s="291"/>
      <c r="F383" s="292"/>
      <c r="G383" s="292"/>
      <c r="H383" s="293"/>
      <c r="I383" s="265"/>
      <c r="J383" s="294"/>
      <c r="K383" s="292"/>
      <c r="L383" s="293"/>
    </row>
    <row r="384" spans="1:12" x14ac:dyDescent="0.2">
      <c r="A384" s="264">
        <v>6</v>
      </c>
      <c r="B384" s="263" t="s">
        <v>113</v>
      </c>
      <c r="C384" s="290">
        <v>57775</v>
      </c>
      <c r="D384" s="265"/>
      <c r="E384" s="291">
        <v>1</v>
      </c>
      <c r="F384" s="292">
        <f>+C384*E384</f>
        <v>57775</v>
      </c>
      <c r="G384" s="292"/>
      <c r="H384" s="293">
        <f>SUM(F384+G384)</f>
        <v>57775</v>
      </c>
      <c r="I384" s="265"/>
      <c r="J384" s="294">
        <f>+H384</f>
        <v>57775</v>
      </c>
      <c r="K384" s="292"/>
      <c r="L384" s="293"/>
    </row>
    <row r="385" spans="1:12" x14ac:dyDescent="0.2">
      <c r="B385" s="263"/>
      <c r="C385" s="290"/>
      <c r="D385" s="265"/>
      <c r="E385" s="291"/>
      <c r="F385" s="292"/>
      <c r="G385" s="292"/>
      <c r="H385" s="293"/>
      <c r="I385" s="265"/>
      <c r="J385" s="294"/>
      <c r="K385" s="292"/>
      <c r="L385" s="293"/>
    </row>
    <row r="386" spans="1:12" x14ac:dyDescent="0.2">
      <c r="A386" s="264">
        <v>7</v>
      </c>
      <c r="B386" s="263" t="s">
        <v>151</v>
      </c>
      <c r="C386" s="273">
        <v>42470</v>
      </c>
      <c r="D386" s="265"/>
      <c r="E386" s="322">
        <f>ROUND(C363/100,0)</f>
        <v>1</v>
      </c>
      <c r="F386" s="292">
        <f>SUM(E386*C386)</f>
        <v>42470</v>
      </c>
      <c r="G386" s="292"/>
      <c r="H386" s="293">
        <f>SUM(F386+G386)</f>
        <v>42470</v>
      </c>
      <c r="I386" s="265"/>
      <c r="J386" s="293">
        <f>SUM(H386+I386)</f>
        <v>42470</v>
      </c>
      <c r="K386" s="296"/>
      <c r="L386" s="297"/>
    </row>
    <row r="387" spans="1:12" x14ac:dyDescent="0.2">
      <c r="B387" s="263" t="s">
        <v>199</v>
      </c>
      <c r="C387" s="273"/>
      <c r="D387" s="265"/>
      <c r="E387" s="322"/>
      <c r="F387" s="292"/>
      <c r="G387" s="292">
        <v>10200</v>
      </c>
      <c r="H387" s="293">
        <v>10200</v>
      </c>
      <c r="I387" s="265"/>
      <c r="J387" s="292">
        <v>10200</v>
      </c>
      <c r="K387" s="292"/>
      <c r="L387" s="293"/>
    </row>
    <row r="388" spans="1:12" x14ac:dyDescent="0.2">
      <c r="A388" s="264">
        <v>8</v>
      </c>
      <c r="B388" s="263" t="s">
        <v>50</v>
      </c>
      <c r="C388" s="290">
        <v>15000</v>
      </c>
      <c r="D388" s="265"/>
      <c r="E388" s="291"/>
      <c r="F388" s="292"/>
      <c r="G388" s="292">
        <f>+C388</f>
        <v>15000</v>
      </c>
      <c r="H388" s="293">
        <f>SUM(F388+G388)</f>
        <v>15000</v>
      </c>
      <c r="I388" s="265"/>
      <c r="J388" s="323">
        <f>+H388</f>
        <v>15000</v>
      </c>
      <c r="K388" s="292"/>
      <c r="L388" s="293"/>
    </row>
    <row r="389" spans="1:12" x14ac:dyDescent="0.2">
      <c r="B389" s="263"/>
      <c r="C389" s="290"/>
      <c r="D389" s="265"/>
      <c r="E389" s="291"/>
      <c r="F389" s="292"/>
      <c r="G389" s="292"/>
      <c r="H389" s="293"/>
      <c r="I389" s="265"/>
      <c r="J389" s="323"/>
      <c r="K389" s="292"/>
      <c r="L389" s="293"/>
    </row>
    <row r="390" spans="1:12" x14ac:dyDescent="0.2">
      <c r="A390" s="264">
        <v>9</v>
      </c>
      <c r="B390" s="263" t="s">
        <v>51</v>
      </c>
      <c r="C390" s="290">
        <v>30000</v>
      </c>
      <c r="D390" s="265"/>
      <c r="E390" s="291"/>
      <c r="F390" s="292"/>
      <c r="G390" s="292">
        <f>+C390</f>
        <v>30000</v>
      </c>
      <c r="H390" s="293">
        <f>SUM(F390+G390)</f>
        <v>30000</v>
      </c>
      <c r="I390" s="265"/>
      <c r="J390" s="323">
        <f>+H390</f>
        <v>30000</v>
      </c>
      <c r="K390" s="292"/>
      <c r="L390" s="293"/>
    </row>
    <row r="391" spans="1:12" x14ac:dyDescent="0.2">
      <c r="B391" s="263"/>
      <c r="C391" s="290"/>
      <c r="D391" s="265"/>
      <c r="E391" s="291"/>
      <c r="F391" s="292"/>
      <c r="G391" s="292"/>
      <c r="H391" s="293"/>
      <c r="I391" s="265"/>
      <c r="J391" s="323"/>
      <c r="K391" s="292"/>
      <c r="L391" s="293"/>
    </row>
    <row r="392" spans="1:12" x14ac:dyDescent="0.2">
      <c r="A392" s="264">
        <v>10</v>
      </c>
      <c r="B392" s="263" t="s">
        <v>52</v>
      </c>
      <c r="C392" s="290">
        <v>40000</v>
      </c>
      <c r="D392" s="265"/>
      <c r="E392" s="291"/>
      <c r="F392" s="292"/>
      <c r="G392" s="292">
        <f>+C392</f>
        <v>40000</v>
      </c>
      <c r="H392" s="293">
        <f>SUM(F392+G392)</f>
        <v>40000</v>
      </c>
      <c r="I392" s="265"/>
      <c r="J392" s="323">
        <f>+H392</f>
        <v>40000</v>
      </c>
      <c r="K392" s="292"/>
      <c r="L392" s="293"/>
    </row>
    <row r="393" spans="1:12" x14ac:dyDescent="0.2">
      <c r="B393" s="263"/>
      <c r="C393" s="290"/>
      <c r="D393" s="265"/>
      <c r="E393" s="291"/>
      <c r="F393" s="292"/>
      <c r="G393" s="292"/>
      <c r="H393" s="293"/>
      <c r="I393" s="265"/>
      <c r="J393" s="294"/>
      <c r="K393" s="292"/>
      <c r="L393" s="293"/>
    </row>
    <row r="394" spans="1:12" x14ac:dyDescent="0.2">
      <c r="A394" s="264">
        <v>11</v>
      </c>
      <c r="B394" s="263" t="s">
        <v>53</v>
      </c>
      <c r="C394" s="290"/>
      <c r="D394" s="265"/>
      <c r="E394" s="291"/>
      <c r="F394" s="292"/>
      <c r="G394" s="292">
        <f>ROUND((F376+F378+F380+F382+F384+F396+F400+F402+F407+F409+F411+F413+F386+F415+F404)*0.15,0)</f>
        <v>331994</v>
      </c>
      <c r="H394" s="293">
        <f>SUM(G394)</f>
        <v>331994</v>
      </c>
      <c r="I394" s="265"/>
      <c r="J394" s="323">
        <f>ROUND((SUM(F376:F386)*0.15),0)</f>
        <v>52215</v>
      </c>
      <c r="K394" s="324">
        <f>ROUND(SUM(F396:F411,F413)*0.15,0)</f>
        <v>232114</v>
      </c>
      <c r="L394" s="325">
        <f>ROUND(F415*0.15,0)</f>
        <v>47666</v>
      </c>
    </row>
    <row r="395" spans="1:12" x14ac:dyDescent="0.2">
      <c r="B395" s="263"/>
      <c r="C395" s="290"/>
      <c r="D395" s="265"/>
      <c r="E395" s="291"/>
      <c r="F395" s="292"/>
      <c r="G395" s="292"/>
      <c r="H395" s="293"/>
      <c r="I395" s="265"/>
      <c r="J395" s="294"/>
      <c r="K395" s="296"/>
      <c r="L395" s="297"/>
    </row>
    <row r="396" spans="1:12" x14ac:dyDescent="0.2">
      <c r="A396" s="264">
        <v>12</v>
      </c>
      <c r="B396" s="263" t="s">
        <v>54</v>
      </c>
      <c r="C396" s="290"/>
      <c r="D396" s="265"/>
      <c r="E396" s="291"/>
      <c r="F396" s="292">
        <f>(F376+F378+F380+F382+F400+F384+F402++F407+F409+F411+F415+F386+F413+F404)*0.2045</f>
        <v>375773.31034999999</v>
      </c>
      <c r="G396" s="292"/>
      <c r="H396" s="293">
        <f>(F376+F378+F380+F382+F384+F400+F402+F407+F409+F411+F415+F386+F413+F404)*0.2045</f>
        <v>375773.31034999999</v>
      </c>
      <c r="I396" s="265"/>
      <c r="J396" s="323">
        <f>ROUND((SUM(F376:F386)*0.2045),0)</f>
        <v>71186</v>
      </c>
      <c r="K396" s="324">
        <f>ROUND((SUM(F400:F413)*0.2045),0)</f>
        <v>239602</v>
      </c>
      <c r="L396" s="325">
        <f>ROUND(F415*0.2045,0)</f>
        <v>64985</v>
      </c>
    </row>
    <row r="397" spans="1:12" x14ac:dyDescent="0.2">
      <c r="B397" s="263"/>
      <c r="C397" s="290"/>
      <c r="D397" s="265"/>
      <c r="E397" s="291"/>
      <c r="F397" s="292"/>
      <c r="G397" s="292"/>
      <c r="H397" s="293"/>
      <c r="I397" s="265"/>
      <c r="J397" s="294"/>
      <c r="K397" s="296"/>
      <c r="L397" s="297"/>
    </row>
    <row r="398" spans="1:12" x14ac:dyDescent="0.2">
      <c r="A398" s="264">
        <v>13</v>
      </c>
      <c r="B398" s="263" t="s">
        <v>55</v>
      </c>
      <c r="C398" s="290">
        <v>2000</v>
      </c>
      <c r="D398" s="265"/>
      <c r="E398" s="291"/>
      <c r="F398" s="292"/>
      <c r="G398" s="292">
        <f>E423*2000</f>
        <v>56000</v>
      </c>
      <c r="H398" s="293">
        <f t="shared" ref="H398" si="38">SUM(F398+G398)</f>
        <v>56000</v>
      </c>
      <c r="I398" s="265"/>
      <c r="J398" s="294">
        <f>(E376+E378+E380+E382+E384+E386)*2000</f>
        <v>12000</v>
      </c>
      <c r="K398" s="296">
        <f>ROUND(SUM(E402,E407,E409,E411,E413,E404)*2000,0)</f>
        <v>34000</v>
      </c>
      <c r="L398" s="297">
        <f>ROUND(E415*2000,0)</f>
        <v>10000</v>
      </c>
    </row>
    <row r="399" spans="1:12" x14ac:dyDescent="0.2">
      <c r="B399" s="263"/>
      <c r="C399" s="290"/>
      <c r="D399" s="265"/>
      <c r="E399" s="291"/>
      <c r="F399" s="292"/>
      <c r="G399" s="292"/>
      <c r="H399" s="293"/>
      <c r="I399" s="265"/>
      <c r="J399" s="294"/>
      <c r="K399" s="296"/>
      <c r="L399" s="297"/>
    </row>
    <row r="400" spans="1:12" ht="36.75" customHeight="1" x14ac:dyDescent="0.2">
      <c r="A400" s="264">
        <v>14</v>
      </c>
      <c r="B400" s="263" t="s">
        <v>114</v>
      </c>
      <c r="C400" s="290"/>
      <c r="D400" s="265"/>
      <c r="E400" s="291"/>
      <c r="F400" s="292">
        <f>(F407+F411+F413+F402+F404+F415+F409)*0.1</f>
        <v>135402.30000000002</v>
      </c>
      <c r="G400" s="292"/>
      <c r="H400" s="293">
        <f>SUM(F400+G400)</f>
        <v>135402.30000000002</v>
      </c>
      <c r="I400" s="265"/>
      <c r="J400" s="294"/>
      <c r="K400" s="296">
        <f>ROUND((+F402+F407+F411+F413+F404+F409)*0.1,0)</f>
        <v>103625</v>
      </c>
      <c r="L400" s="297">
        <f>ROUND(F415*0.1,0)</f>
        <v>31778</v>
      </c>
    </row>
    <row r="401" spans="1:12" x14ac:dyDescent="0.2">
      <c r="B401" s="263"/>
      <c r="C401" s="290"/>
      <c r="D401" s="265"/>
      <c r="E401" s="291"/>
      <c r="F401" s="292"/>
      <c r="G401" s="292"/>
      <c r="H401" s="293"/>
      <c r="I401" s="265"/>
      <c r="J401" s="294"/>
      <c r="K401" s="292"/>
      <c r="L401" s="293"/>
    </row>
    <row r="402" spans="1:12" x14ac:dyDescent="0.2">
      <c r="A402" s="264">
        <v>15</v>
      </c>
      <c r="B402" s="263" t="s">
        <v>57</v>
      </c>
      <c r="C402" s="290">
        <v>69911</v>
      </c>
      <c r="D402" s="265"/>
      <c r="E402" s="326">
        <f>ROUND((E415+E411+E409+E407+E413+E404)/6,0)</f>
        <v>3</v>
      </c>
      <c r="F402" s="292">
        <f>F368*E402</f>
        <v>209733</v>
      </c>
      <c r="G402" s="292"/>
      <c r="H402" s="293">
        <f t="shared" ref="H402" si="39">SUM(F402+G402)</f>
        <v>209733</v>
      </c>
      <c r="I402" s="265"/>
      <c r="J402" s="291"/>
      <c r="K402" s="296">
        <f>ROUND(F402*((+E$49+E$51+E$53)/(E$49+E$51+E$53+E$55)),0)</f>
        <v>132115</v>
      </c>
      <c r="L402" s="297">
        <f>ROUND((+F402*(E$55/(+E$49+E$51+E$53+E$55))),0)</f>
        <v>77618</v>
      </c>
    </row>
    <row r="403" spans="1:12" x14ac:dyDescent="0.2">
      <c r="B403" s="263"/>
      <c r="C403" s="290"/>
      <c r="D403" s="265"/>
      <c r="E403" s="291"/>
      <c r="F403" s="292"/>
      <c r="G403" s="292"/>
      <c r="H403" s="293"/>
      <c r="I403" s="265"/>
      <c r="J403" s="294"/>
      <c r="K403" s="292"/>
      <c r="L403" s="293"/>
    </row>
    <row r="404" spans="1:12" x14ac:dyDescent="0.2">
      <c r="A404" s="301">
        <v>16</v>
      </c>
      <c r="B404" s="301" t="s">
        <v>160</v>
      </c>
      <c r="C404" s="290">
        <v>42470</v>
      </c>
      <c r="D404" s="265"/>
      <c r="E404" s="326">
        <f>ROUNDUP((E415+E411+E409+E407+E413)/6,0)</f>
        <v>3</v>
      </c>
      <c r="F404" s="327">
        <f>F369*E404</f>
        <v>127410</v>
      </c>
      <c r="H404" s="293">
        <f t="shared" ref="H404" si="40">SUM(F404+G404)</f>
        <v>127410</v>
      </c>
      <c r="I404" s="265"/>
      <c r="J404" s="294"/>
      <c r="K404" s="296">
        <f>ROUND(F404*((+E$49+E$51+E$53)/(E$49+E$51+E$53+E$55)),0)</f>
        <v>80258</v>
      </c>
      <c r="L404" s="297">
        <f>ROUND((+F404*(E$55/(+E$49+E$51+E$53+E$55))),0)</f>
        <v>47152</v>
      </c>
    </row>
    <row r="405" spans="1:12" x14ac:dyDescent="0.2">
      <c r="B405" s="263"/>
      <c r="C405" s="290"/>
      <c r="D405" s="265"/>
      <c r="E405" s="291"/>
      <c r="F405" s="292"/>
      <c r="G405" s="292"/>
      <c r="H405" s="293"/>
      <c r="I405" s="265"/>
      <c r="J405" s="294"/>
      <c r="K405" s="292"/>
      <c r="L405" s="293"/>
    </row>
    <row r="406" spans="1:12" ht="15.75" x14ac:dyDescent="0.25">
      <c r="A406" s="282" t="s">
        <v>115</v>
      </c>
      <c r="B406" s="263"/>
      <c r="C406" s="290"/>
      <c r="D406" s="265"/>
      <c r="E406" s="291"/>
      <c r="F406" s="292"/>
      <c r="G406" s="292"/>
      <c r="H406" s="293"/>
      <c r="I406" s="265"/>
      <c r="J406" s="294"/>
      <c r="K406" s="292"/>
      <c r="L406" s="293"/>
    </row>
    <row r="407" spans="1:12" x14ac:dyDescent="0.2">
      <c r="A407" s="300">
        <v>17</v>
      </c>
      <c r="B407" s="301" t="s">
        <v>60</v>
      </c>
      <c r="C407" s="302">
        <v>63555</v>
      </c>
      <c r="D407" s="303"/>
      <c r="E407" s="304">
        <f>ROUND(C363/30,0)</f>
        <v>3</v>
      </c>
      <c r="F407" s="305">
        <f>F367*E407</f>
        <v>190665</v>
      </c>
      <c r="G407" s="305"/>
      <c r="H407" s="293">
        <f t="shared" ref="H407" si="41">SUM(F407+G407)</f>
        <v>190665</v>
      </c>
      <c r="I407" s="303"/>
      <c r="J407" s="306"/>
      <c r="K407" s="292">
        <f>SUM(E407*F367)</f>
        <v>190665</v>
      </c>
      <c r="L407" s="293"/>
    </row>
    <row r="408" spans="1:12" x14ac:dyDescent="0.2">
      <c r="A408" s="301"/>
      <c r="B408" s="301"/>
      <c r="C408" s="290"/>
      <c r="D408" s="265"/>
      <c r="E408" s="291"/>
      <c r="F408" s="292"/>
      <c r="G408" s="292"/>
      <c r="H408" s="293"/>
      <c r="I408" s="265"/>
      <c r="J408" s="294"/>
      <c r="K408" s="292"/>
      <c r="L408" s="293"/>
    </row>
    <row r="409" spans="1:12" ht="30" x14ac:dyDescent="0.2">
      <c r="A409" s="300">
        <v>18</v>
      </c>
      <c r="B409" s="301" t="s">
        <v>61</v>
      </c>
      <c r="C409" s="290">
        <v>63555</v>
      </c>
      <c r="D409" s="265"/>
      <c r="E409" s="291">
        <f>1</f>
        <v>1</v>
      </c>
      <c r="F409" s="292">
        <f>F367*E409</f>
        <v>63555</v>
      </c>
      <c r="G409" s="292"/>
      <c r="H409" s="293">
        <f t="shared" ref="H409" si="42">SUM(F409+G409)</f>
        <v>63555</v>
      </c>
      <c r="I409" s="265"/>
      <c r="J409" s="294" t="s">
        <v>62</v>
      </c>
      <c r="K409" s="292">
        <f>SUM(E409*F367)</f>
        <v>63555</v>
      </c>
      <c r="L409" s="293"/>
    </row>
    <row r="410" spans="1:12" x14ac:dyDescent="0.2">
      <c r="A410" s="301"/>
      <c r="B410" s="301"/>
      <c r="C410" s="290"/>
      <c r="D410" s="265"/>
      <c r="E410" s="291"/>
      <c r="F410" s="292"/>
      <c r="G410" s="292"/>
      <c r="H410" s="293"/>
      <c r="I410" s="265"/>
      <c r="J410" s="294"/>
      <c r="K410" s="292"/>
      <c r="L410" s="293"/>
    </row>
    <row r="411" spans="1:12" x14ac:dyDescent="0.2">
      <c r="A411" s="301">
        <v>19</v>
      </c>
      <c r="B411" s="301" t="s">
        <v>63</v>
      </c>
      <c r="C411" s="290">
        <v>63555</v>
      </c>
      <c r="D411" s="265"/>
      <c r="E411" s="291">
        <f>ROUND(C363/20,0)</f>
        <v>5</v>
      </c>
      <c r="F411" s="292">
        <f>F367*E411</f>
        <v>317775</v>
      </c>
      <c r="G411" s="292"/>
      <c r="H411" s="293">
        <f t="shared" ref="H411" si="43">SUM(F411+G411)</f>
        <v>317775</v>
      </c>
      <c r="I411" s="265"/>
      <c r="J411" s="294"/>
      <c r="K411" s="292">
        <f>SUM(E411*F367)</f>
        <v>317775</v>
      </c>
      <c r="L411" s="293"/>
    </row>
    <row r="412" spans="1:12" x14ac:dyDescent="0.2">
      <c r="A412" s="301"/>
      <c r="B412" s="301"/>
      <c r="C412" s="290"/>
      <c r="D412" s="265"/>
      <c r="E412" s="291"/>
      <c r="F412" s="292"/>
      <c r="G412" s="292"/>
      <c r="H412" s="293"/>
      <c r="I412" s="265"/>
      <c r="J412" s="294"/>
      <c r="K412" s="292"/>
      <c r="L412" s="293"/>
    </row>
    <row r="413" spans="1:12" x14ac:dyDescent="0.2">
      <c r="A413" s="301">
        <v>20</v>
      </c>
      <c r="B413" s="301" t="s">
        <v>111</v>
      </c>
      <c r="C413" s="290">
        <v>63555</v>
      </c>
      <c r="D413" s="265"/>
      <c r="E413" s="328">
        <f>ROUNDDOWN(C364/40,0)</f>
        <v>2</v>
      </c>
      <c r="F413" s="292">
        <f>F367*E413</f>
        <v>127110</v>
      </c>
      <c r="G413" s="292"/>
      <c r="H413" s="293">
        <f t="shared" ref="H413" si="44">SUM(F413+G413)</f>
        <v>127110</v>
      </c>
      <c r="I413" s="290"/>
      <c r="K413" s="265">
        <f>SUM(E413*F367)</f>
        <v>127110</v>
      </c>
      <c r="L413" s="329"/>
    </row>
    <row r="414" spans="1:12" x14ac:dyDescent="0.2">
      <c r="A414" s="301"/>
      <c r="B414" s="301"/>
      <c r="C414" s="290"/>
      <c r="D414" s="265"/>
      <c r="E414" s="291"/>
      <c r="F414" s="292"/>
      <c r="G414" s="292"/>
      <c r="H414" s="293"/>
      <c r="I414" s="290"/>
      <c r="L414" s="329"/>
    </row>
    <row r="415" spans="1:12" x14ac:dyDescent="0.2">
      <c r="A415" s="301">
        <v>21</v>
      </c>
      <c r="B415" s="301" t="s">
        <v>112</v>
      </c>
      <c r="C415" s="290">
        <v>63555</v>
      </c>
      <c r="D415" s="265"/>
      <c r="E415" s="328">
        <f>ROUND(C364/20,0)</f>
        <v>5</v>
      </c>
      <c r="F415" s="292">
        <f>SUM(E415*F367)</f>
        <v>317775</v>
      </c>
      <c r="H415" s="293">
        <f t="shared" ref="H415" si="45">SUM(F415+G415)</f>
        <v>317775</v>
      </c>
      <c r="I415" s="290"/>
      <c r="K415" s="265"/>
      <c r="L415" s="293">
        <f>SUM(H415)</f>
        <v>317775</v>
      </c>
    </row>
    <row r="416" spans="1:12" x14ac:dyDescent="0.2">
      <c r="A416" s="301"/>
      <c r="B416" s="301"/>
      <c r="C416" s="290"/>
      <c r="D416" s="265"/>
      <c r="E416" s="291"/>
      <c r="F416" s="292"/>
      <c r="H416" s="293"/>
      <c r="I416" s="290"/>
      <c r="L416" s="329"/>
    </row>
    <row r="417" spans="1:12" x14ac:dyDescent="0.2">
      <c r="A417" s="301">
        <v>22</v>
      </c>
      <c r="B417" s="301" t="s">
        <v>155</v>
      </c>
      <c r="C417" s="295"/>
      <c r="D417" s="307"/>
      <c r="E417" s="291"/>
      <c r="F417" s="292"/>
      <c r="G417" s="292">
        <f>ROUND(175*C362,0)</f>
        <v>281750</v>
      </c>
      <c r="H417" s="293">
        <f t="shared" ref="H417" si="46">SUM(F417+G417)</f>
        <v>281750</v>
      </c>
      <c r="I417" s="265"/>
      <c r="J417" s="294" t="s">
        <v>62</v>
      </c>
      <c r="K417" s="292">
        <f>ROUND(175/2*C362,0)</f>
        <v>140875</v>
      </c>
      <c r="L417" s="293">
        <f>ROUND(175/2*C362,0)</f>
        <v>140875</v>
      </c>
    </row>
    <row r="418" spans="1:12" x14ac:dyDescent="0.2">
      <c r="A418" s="301"/>
      <c r="B418" s="301"/>
      <c r="C418" s="290"/>
      <c r="D418" s="265"/>
      <c r="E418" s="291"/>
      <c r="F418" s="292"/>
      <c r="G418" s="292"/>
      <c r="H418" s="293"/>
      <c r="I418" s="265"/>
      <c r="J418" s="294"/>
      <c r="K418" s="292"/>
      <c r="L418" s="293"/>
    </row>
    <row r="419" spans="1:12" x14ac:dyDescent="0.2">
      <c r="A419" s="301">
        <v>23</v>
      </c>
      <c r="B419" s="301" t="s">
        <v>66</v>
      </c>
      <c r="C419" s="290">
        <v>11500</v>
      </c>
      <c r="D419" s="265"/>
      <c r="E419" s="291"/>
      <c r="F419" s="292"/>
      <c r="G419" s="292">
        <f>(E376+E402+E413+E407+E409+E411+E415+E404)*11500</f>
        <v>264500</v>
      </c>
      <c r="H419" s="293">
        <f>SUM(F419:G419)</f>
        <v>264500</v>
      </c>
      <c r="I419" s="265"/>
      <c r="J419" s="323">
        <f>ROUND(11500*E376,0)</f>
        <v>11500</v>
      </c>
      <c r="K419" s="296">
        <f>(ROUND(11500*(+E411+E409+E407+E413+E402+E404),0))</f>
        <v>195500</v>
      </c>
      <c r="L419" s="297">
        <f>ROUND(11500*E415,0)</f>
        <v>57500</v>
      </c>
    </row>
    <row r="420" spans="1:12" x14ac:dyDescent="0.2">
      <c r="A420" s="301"/>
      <c r="B420" s="301"/>
      <c r="C420" s="290"/>
      <c r="D420" s="265"/>
      <c r="E420" s="291"/>
      <c r="G420" s="292"/>
      <c r="H420" s="293"/>
      <c r="J420" s="294"/>
      <c r="K420" s="296"/>
      <c r="L420" s="297"/>
    </row>
    <row r="421" spans="1:12" x14ac:dyDescent="0.2">
      <c r="A421" s="301">
        <v>24</v>
      </c>
      <c r="B421" s="301" t="s">
        <v>82</v>
      </c>
      <c r="C421" s="290"/>
      <c r="D421" s="265"/>
      <c r="E421" s="291"/>
      <c r="G421" s="292">
        <v>27140</v>
      </c>
      <c r="H421" s="293">
        <f t="shared" ref="H421" si="47">SUM(F421+G421)</f>
        <v>27140</v>
      </c>
      <c r="I421" s="330"/>
      <c r="J421" s="292"/>
      <c r="K421" s="296"/>
      <c r="L421" s="297">
        <f>+H421</f>
        <v>27140</v>
      </c>
    </row>
    <row r="422" spans="1:12" ht="15.75" thickBot="1" x14ac:dyDescent="0.25">
      <c r="B422" s="331"/>
      <c r="C422" s="332"/>
      <c r="D422" s="265"/>
      <c r="E422" s="291"/>
      <c r="H422" s="293"/>
      <c r="I422" s="333"/>
      <c r="J422" s="265"/>
      <c r="L422" s="293"/>
    </row>
    <row r="423" spans="1:12" ht="16.5" thickBot="1" x14ac:dyDescent="0.3">
      <c r="B423" s="334" t="s">
        <v>67</v>
      </c>
      <c r="C423" s="335"/>
      <c r="D423" s="336"/>
      <c r="E423" s="337">
        <f>SUM(E373:E422)</f>
        <v>28</v>
      </c>
      <c r="F423" s="336">
        <f>SUM(F373:F421)</f>
        <v>2213295.6103499997</v>
      </c>
      <c r="G423" s="336">
        <f>SUM(G374:G421)</f>
        <v>1106584</v>
      </c>
      <c r="H423" s="338">
        <f>SUM(H374:H422)</f>
        <v>3319879.6103499997</v>
      </c>
      <c r="I423" s="336"/>
      <c r="J423" s="339">
        <f>SUM(J374:J421)</f>
        <v>570287</v>
      </c>
      <c r="K423" s="336">
        <f>SUM(K374:K422)</f>
        <v>1857194</v>
      </c>
      <c r="L423" s="340">
        <f>SUM(L373:L422)</f>
        <v>892400</v>
      </c>
    </row>
    <row r="424" spans="1:12" ht="15.75" thickBot="1" x14ac:dyDescent="0.25">
      <c r="B424" s="331"/>
      <c r="C424" s="332"/>
      <c r="D424" s="265"/>
      <c r="E424" s="291"/>
      <c r="F424" s="354"/>
      <c r="G424" s="354"/>
      <c r="H424" s="355"/>
      <c r="I424" s="330"/>
      <c r="J424" s="265"/>
      <c r="L424" s="293"/>
    </row>
    <row r="425" spans="1:12" ht="15.75" x14ac:dyDescent="0.25">
      <c r="B425" s="318"/>
      <c r="C425" s="271"/>
      <c r="D425" s="271"/>
      <c r="E425" s="274"/>
      <c r="J425" s="265"/>
      <c r="K425" s="265"/>
      <c r="L425" s="347"/>
    </row>
    <row r="426" spans="1:12" ht="15.75" x14ac:dyDescent="0.25">
      <c r="C426" s="272"/>
      <c r="D426" s="272"/>
      <c r="E426" s="274"/>
      <c r="L426" s="347"/>
    </row>
    <row r="428" spans="1:12" ht="15.75" x14ac:dyDescent="0.25">
      <c r="A428" s="266" t="s">
        <v>24</v>
      </c>
      <c r="B428" s="267"/>
      <c r="C428" s="320" t="s">
        <v>89</v>
      </c>
    </row>
    <row r="429" spans="1:12" ht="15.75" x14ac:dyDescent="0.25">
      <c r="A429" s="266" t="s">
        <v>106</v>
      </c>
      <c r="B429" s="263"/>
    </row>
    <row r="430" spans="1:12" x14ac:dyDescent="0.2">
      <c r="B430" s="263"/>
      <c r="C430" s="268"/>
      <c r="D430" s="268"/>
    </row>
    <row r="431" spans="1:12" x14ac:dyDescent="0.2">
      <c r="B431" s="263"/>
      <c r="C431" s="269"/>
      <c r="D431" s="269"/>
    </row>
    <row r="432" spans="1:12" ht="15.75" x14ac:dyDescent="0.25">
      <c r="A432" s="264" t="s">
        <v>27</v>
      </c>
      <c r="B432" s="263"/>
      <c r="C432" s="270">
        <v>2685</v>
      </c>
      <c r="D432" s="270" t="s">
        <v>79</v>
      </c>
      <c r="E432" s="271"/>
    </row>
    <row r="433" spans="1:12" ht="15.75" x14ac:dyDescent="0.25">
      <c r="A433" s="264" t="s">
        <v>28</v>
      </c>
      <c r="B433" s="263"/>
      <c r="C433" s="270">
        <f>SUM(C432*0.06)</f>
        <v>161.1</v>
      </c>
      <c r="D433" s="268"/>
      <c r="E433" s="271"/>
    </row>
    <row r="434" spans="1:12" ht="15.75" x14ac:dyDescent="0.25">
      <c r="A434" s="264" t="s">
        <v>29</v>
      </c>
      <c r="B434" s="263"/>
      <c r="C434" s="270">
        <v>179</v>
      </c>
      <c r="D434" s="270"/>
      <c r="E434" s="271"/>
    </row>
    <row r="435" spans="1:12" ht="15.75" x14ac:dyDescent="0.25">
      <c r="B435" s="263" t="s">
        <v>30</v>
      </c>
      <c r="C435" s="270">
        <v>1</v>
      </c>
      <c r="D435" s="268"/>
      <c r="E435" s="271"/>
    </row>
    <row r="436" spans="1:12" x14ac:dyDescent="0.2">
      <c r="B436" s="263"/>
    </row>
    <row r="437" spans="1:12" x14ac:dyDescent="0.2">
      <c r="A437" s="271" t="s">
        <v>107</v>
      </c>
      <c r="B437" s="272"/>
      <c r="D437" s="273"/>
      <c r="F437" s="273">
        <v>63555</v>
      </c>
      <c r="I437" s="265"/>
    </row>
    <row r="438" spans="1:12" x14ac:dyDescent="0.2">
      <c r="A438" s="271" t="s">
        <v>108</v>
      </c>
      <c r="B438" s="272"/>
      <c r="D438" s="273"/>
      <c r="F438" s="273">
        <v>69911</v>
      </c>
      <c r="I438" s="265"/>
    </row>
    <row r="439" spans="1:12" x14ac:dyDescent="0.2">
      <c r="A439" s="271" t="s">
        <v>109</v>
      </c>
      <c r="B439" s="272"/>
      <c r="D439" s="273"/>
      <c r="F439" s="273">
        <v>42470</v>
      </c>
      <c r="I439" s="265"/>
    </row>
    <row r="440" spans="1:12" x14ac:dyDescent="0.2">
      <c r="A440" s="271"/>
      <c r="B440" s="272"/>
      <c r="C440" s="274"/>
      <c r="D440" s="274"/>
      <c r="I440" s="265"/>
    </row>
    <row r="441" spans="1:12" ht="15.75" x14ac:dyDescent="0.25">
      <c r="B441" s="263"/>
      <c r="J441" s="275" t="s">
        <v>34</v>
      </c>
      <c r="K441" s="419" t="s">
        <v>35</v>
      </c>
      <c r="L441" s="420"/>
    </row>
    <row r="442" spans="1:12" ht="15.75" x14ac:dyDescent="0.25">
      <c r="A442" s="266" t="s">
        <v>36</v>
      </c>
      <c r="B442" s="276"/>
      <c r="C442" s="277" t="s">
        <v>80</v>
      </c>
      <c r="D442" s="278"/>
      <c r="E442" s="275" t="s">
        <v>38</v>
      </c>
      <c r="F442" s="275" t="s">
        <v>39</v>
      </c>
      <c r="G442" s="275" t="s">
        <v>40</v>
      </c>
      <c r="H442" s="279" t="s">
        <v>0</v>
      </c>
      <c r="I442" s="280"/>
      <c r="J442" s="277" t="s">
        <v>41</v>
      </c>
      <c r="K442" s="281" t="s">
        <v>42</v>
      </c>
      <c r="L442" s="275" t="s">
        <v>43</v>
      </c>
    </row>
    <row r="443" spans="1:12" ht="15.75" x14ac:dyDescent="0.25">
      <c r="A443" s="282"/>
      <c r="B443" s="276"/>
      <c r="C443" s="283"/>
      <c r="D443" s="278"/>
      <c r="E443" s="284"/>
      <c r="F443" s="285"/>
      <c r="G443" s="285"/>
      <c r="H443" s="286"/>
      <c r="I443" s="280"/>
      <c r="J443" s="287"/>
      <c r="K443" s="288"/>
      <c r="L443" s="289"/>
    </row>
    <row r="444" spans="1:12" x14ac:dyDescent="0.2">
      <c r="A444" s="264">
        <v>1</v>
      </c>
      <c r="B444" s="263" t="s">
        <v>44</v>
      </c>
      <c r="C444" s="290">
        <v>50000</v>
      </c>
      <c r="D444" s="265"/>
      <c r="E444" s="291"/>
      <c r="F444" s="292"/>
      <c r="G444" s="292">
        <f>+C444</f>
        <v>50000</v>
      </c>
      <c r="H444" s="293">
        <f>SUM(F444+G444)</f>
        <v>50000</v>
      </c>
      <c r="I444" s="265"/>
      <c r="J444" s="294">
        <f>+H444</f>
        <v>50000</v>
      </c>
      <c r="K444" s="292"/>
      <c r="L444" s="293"/>
    </row>
    <row r="445" spans="1:12" x14ac:dyDescent="0.2">
      <c r="B445" s="263"/>
      <c r="C445" s="290"/>
      <c r="D445" s="265"/>
      <c r="E445" s="291"/>
      <c r="F445" s="292"/>
      <c r="G445" s="292"/>
      <c r="H445" s="293"/>
      <c r="I445" s="265"/>
      <c r="J445" s="294"/>
      <c r="K445" s="292"/>
      <c r="L445" s="293"/>
    </row>
    <row r="446" spans="1:12" x14ac:dyDescent="0.2">
      <c r="A446" s="264">
        <v>2</v>
      </c>
      <c r="B446" s="263" t="s">
        <v>45</v>
      </c>
      <c r="C446" s="290">
        <v>89606</v>
      </c>
      <c r="D446" s="265"/>
      <c r="E446" s="291">
        <v>1</v>
      </c>
      <c r="F446" s="292">
        <f>+C446*E446</f>
        <v>89606</v>
      </c>
      <c r="G446" s="292"/>
      <c r="H446" s="293">
        <f>SUM(F446+G446)</f>
        <v>89606</v>
      </c>
      <c r="I446" s="265"/>
      <c r="J446" s="294">
        <f>+H446</f>
        <v>89606</v>
      </c>
      <c r="K446" s="292"/>
      <c r="L446" s="293"/>
    </row>
    <row r="447" spans="1:12" x14ac:dyDescent="0.2">
      <c r="B447" s="263"/>
      <c r="C447" s="290"/>
      <c r="D447" s="265"/>
      <c r="E447" s="291"/>
      <c r="F447" s="292"/>
      <c r="G447" s="292"/>
      <c r="H447" s="293"/>
      <c r="I447" s="265"/>
      <c r="J447" s="294"/>
      <c r="K447" s="292"/>
      <c r="L447" s="293"/>
    </row>
    <row r="448" spans="1:12" x14ac:dyDescent="0.2">
      <c r="A448" s="264">
        <v>3</v>
      </c>
      <c r="B448" s="301" t="s">
        <v>176</v>
      </c>
      <c r="C448" s="290">
        <v>69911</v>
      </c>
      <c r="D448" s="265"/>
      <c r="E448" s="291">
        <v>1</v>
      </c>
      <c r="F448" s="292">
        <f>+C448*E448</f>
        <v>69911</v>
      </c>
      <c r="G448" s="292"/>
      <c r="H448" s="293">
        <f>SUM(F448+G448)</f>
        <v>69911</v>
      </c>
      <c r="I448" s="265"/>
      <c r="J448" s="294"/>
      <c r="K448" s="292"/>
      <c r="L448" s="293">
        <f>$H$92</f>
        <v>69911</v>
      </c>
    </row>
    <row r="449" spans="1:12" x14ac:dyDescent="0.2">
      <c r="B449" s="263"/>
      <c r="C449" s="290"/>
      <c r="D449" s="265"/>
      <c r="E449" s="291"/>
      <c r="F449" s="292"/>
      <c r="G449" s="292"/>
      <c r="H449" s="293"/>
      <c r="I449" s="265"/>
      <c r="J449" s="294"/>
      <c r="K449" s="292"/>
      <c r="L449" s="293"/>
    </row>
    <row r="450" spans="1:12" x14ac:dyDescent="0.2">
      <c r="A450" s="264">
        <v>4</v>
      </c>
      <c r="B450" s="263" t="s">
        <v>46</v>
      </c>
      <c r="C450" s="290">
        <v>45865</v>
      </c>
      <c r="D450" s="265"/>
      <c r="E450" s="291">
        <v>1</v>
      </c>
      <c r="F450" s="292">
        <f>+C450*E450</f>
        <v>45865</v>
      </c>
      <c r="G450" s="292"/>
      <c r="H450" s="293">
        <f>SUM(F450+G450)</f>
        <v>45865</v>
      </c>
      <c r="I450" s="265"/>
      <c r="J450" s="294">
        <f>+H450</f>
        <v>45865</v>
      </c>
      <c r="K450" s="292"/>
      <c r="L450" s="293"/>
    </row>
    <row r="451" spans="1:12" x14ac:dyDescent="0.2">
      <c r="B451" s="263"/>
      <c r="C451" s="290"/>
      <c r="D451" s="265"/>
      <c r="E451" s="291"/>
      <c r="F451" s="292"/>
      <c r="G451" s="292"/>
      <c r="H451" s="293"/>
      <c r="I451" s="265"/>
      <c r="J451" s="294"/>
      <c r="K451" s="292"/>
      <c r="L451" s="293"/>
    </row>
    <row r="452" spans="1:12" x14ac:dyDescent="0.2">
      <c r="A452" s="264">
        <v>5</v>
      </c>
      <c r="B452" s="263" t="s">
        <v>47</v>
      </c>
      <c r="C452" s="290">
        <v>42470</v>
      </c>
      <c r="D452" s="265"/>
      <c r="E452" s="291">
        <v>1</v>
      </c>
      <c r="F452" s="292">
        <f>+C452*E452</f>
        <v>42470</v>
      </c>
      <c r="G452" s="292"/>
      <c r="H452" s="293">
        <f>SUM(F452+G452)</f>
        <v>42470</v>
      </c>
      <c r="I452" s="265"/>
      <c r="J452" s="294">
        <f>+H452</f>
        <v>42470</v>
      </c>
      <c r="K452" s="292"/>
      <c r="L452" s="293"/>
    </row>
    <row r="453" spans="1:12" x14ac:dyDescent="0.2">
      <c r="B453" s="263"/>
      <c r="C453" s="290"/>
      <c r="D453" s="265"/>
      <c r="E453" s="291"/>
      <c r="F453" s="292"/>
      <c r="G453" s="292"/>
      <c r="H453" s="293"/>
      <c r="I453" s="265"/>
      <c r="J453" s="294"/>
      <c r="K453" s="292"/>
      <c r="L453" s="293"/>
    </row>
    <row r="454" spans="1:12" x14ac:dyDescent="0.2">
      <c r="A454" s="264">
        <v>6</v>
      </c>
      <c r="B454" s="263" t="s">
        <v>113</v>
      </c>
      <c r="C454" s="290">
        <v>57775</v>
      </c>
      <c r="D454" s="265"/>
      <c r="E454" s="291">
        <v>1</v>
      </c>
      <c r="F454" s="292">
        <f>+C454*E454</f>
        <v>57775</v>
      </c>
      <c r="G454" s="292"/>
      <c r="H454" s="293">
        <f>SUM(F454+G454)</f>
        <v>57775</v>
      </c>
      <c r="I454" s="265"/>
      <c r="J454" s="294">
        <f>+H454</f>
        <v>57775</v>
      </c>
      <c r="K454" s="292"/>
      <c r="L454" s="293"/>
    </row>
    <row r="455" spans="1:12" x14ac:dyDescent="0.2">
      <c r="B455" s="263"/>
      <c r="C455" s="290"/>
      <c r="D455" s="265"/>
      <c r="E455" s="291"/>
      <c r="F455" s="292"/>
      <c r="G455" s="292"/>
      <c r="H455" s="293"/>
      <c r="I455" s="265"/>
      <c r="J455" s="294"/>
      <c r="K455" s="292"/>
      <c r="L455" s="293"/>
    </row>
    <row r="456" spans="1:12" x14ac:dyDescent="0.2">
      <c r="A456" s="264">
        <v>7</v>
      </c>
      <c r="B456" s="263" t="s">
        <v>151</v>
      </c>
      <c r="C456" s="273">
        <v>42470</v>
      </c>
      <c r="D456" s="265"/>
      <c r="E456" s="322">
        <f>ROUNDDOWN(C433/100,0)</f>
        <v>1</v>
      </c>
      <c r="F456" s="292">
        <f>SUM(E456*C456)</f>
        <v>42470</v>
      </c>
      <c r="G456" s="292"/>
      <c r="H456" s="293">
        <f>SUM(F456+G456)</f>
        <v>42470</v>
      </c>
      <c r="I456" s="265"/>
      <c r="J456" s="293">
        <f>SUM(H456+I456)</f>
        <v>42470</v>
      </c>
      <c r="K456" s="296"/>
      <c r="L456" s="297"/>
    </row>
    <row r="457" spans="1:12" x14ac:dyDescent="0.2">
      <c r="B457" s="263" t="s">
        <v>199</v>
      </c>
      <c r="C457" s="273"/>
      <c r="D457" s="265"/>
      <c r="E457" s="322"/>
      <c r="F457" s="292"/>
      <c r="G457" s="292">
        <v>10200</v>
      </c>
      <c r="H457" s="293">
        <v>10200</v>
      </c>
      <c r="I457" s="265"/>
      <c r="J457" s="292">
        <v>10200</v>
      </c>
      <c r="K457" s="292"/>
      <c r="L457" s="293"/>
    </row>
    <row r="458" spans="1:12" x14ac:dyDescent="0.2">
      <c r="A458" s="264">
        <v>8</v>
      </c>
      <c r="B458" s="263" t="s">
        <v>50</v>
      </c>
      <c r="C458" s="290">
        <v>15000</v>
      </c>
      <c r="D458" s="265"/>
      <c r="E458" s="291"/>
      <c r="F458" s="292"/>
      <c r="G458" s="292">
        <f>+C458</f>
        <v>15000</v>
      </c>
      <c r="H458" s="293">
        <f>SUM(F458+G458)</f>
        <v>15000</v>
      </c>
      <c r="I458" s="265"/>
      <c r="J458" s="323">
        <f>+H458</f>
        <v>15000</v>
      </c>
      <c r="K458" s="292"/>
      <c r="L458" s="293"/>
    </row>
    <row r="459" spans="1:12" x14ac:dyDescent="0.2">
      <c r="B459" s="263"/>
      <c r="C459" s="290"/>
      <c r="D459" s="265"/>
      <c r="E459" s="291"/>
      <c r="F459" s="292"/>
      <c r="G459" s="292"/>
      <c r="H459" s="293"/>
      <c r="I459" s="265"/>
      <c r="J459" s="323"/>
      <c r="K459" s="292"/>
      <c r="L459" s="293"/>
    </row>
    <row r="460" spans="1:12" x14ac:dyDescent="0.2">
      <c r="A460" s="264">
        <v>9</v>
      </c>
      <c r="B460" s="263" t="s">
        <v>51</v>
      </c>
      <c r="C460" s="290">
        <v>30000</v>
      </c>
      <c r="D460" s="265"/>
      <c r="E460" s="291"/>
      <c r="F460" s="292"/>
      <c r="G460" s="292">
        <f>+C460</f>
        <v>30000</v>
      </c>
      <c r="H460" s="293">
        <f>SUM(F460+G460)</f>
        <v>30000</v>
      </c>
      <c r="I460" s="265"/>
      <c r="J460" s="323">
        <f>+H460</f>
        <v>30000</v>
      </c>
      <c r="K460" s="292"/>
      <c r="L460" s="293"/>
    </row>
    <row r="461" spans="1:12" x14ac:dyDescent="0.2">
      <c r="B461" s="263"/>
      <c r="C461" s="290"/>
      <c r="D461" s="265"/>
      <c r="E461" s="291"/>
      <c r="F461" s="292"/>
      <c r="G461" s="292"/>
      <c r="H461" s="293"/>
      <c r="I461" s="265"/>
      <c r="J461" s="323"/>
      <c r="K461" s="292"/>
      <c r="L461" s="293"/>
    </row>
    <row r="462" spans="1:12" x14ac:dyDescent="0.2">
      <c r="A462" s="264">
        <v>10</v>
      </c>
      <c r="B462" s="263" t="s">
        <v>52</v>
      </c>
      <c r="C462" s="290">
        <v>40000</v>
      </c>
      <c r="D462" s="265"/>
      <c r="E462" s="291"/>
      <c r="F462" s="292"/>
      <c r="G462" s="292">
        <f>+C462</f>
        <v>40000</v>
      </c>
      <c r="H462" s="293">
        <f>SUM(F462+G462)</f>
        <v>40000</v>
      </c>
      <c r="I462" s="265"/>
      <c r="J462" s="323">
        <f>+H462</f>
        <v>40000</v>
      </c>
      <c r="K462" s="292"/>
      <c r="L462" s="293"/>
    </row>
    <row r="463" spans="1:12" x14ac:dyDescent="0.2">
      <c r="B463" s="263"/>
      <c r="C463" s="290"/>
      <c r="D463" s="265"/>
      <c r="E463" s="291"/>
      <c r="F463" s="292"/>
      <c r="G463" s="292"/>
      <c r="H463" s="293"/>
      <c r="I463" s="265"/>
      <c r="J463" s="294"/>
      <c r="K463" s="292"/>
      <c r="L463" s="293"/>
    </row>
    <row r="464" spans="1:12" x14ac:dyDescent="0.2">
      <c r="A464" s="264">
        <v>11</v>
      </c>
      <c r="B464" s="263" t="s">
        <v>53</v>
      </c>
      <c r="C464" s="290"/>
      <c r="D464" s="265"/>
      <c r="E464" s="291"/>
      <c r="F464" s="292"/>
      <c r="G464" s="292">
        <f>ROUND((F446+F448+F450+F452+F454+F466+F470+F472+F477+F479+F481+F483+F456+F485+F474)*0.15,0)</f>
        <v>515606</v>
      </c>
      <c r="H464" s="293">
        <f>SUM(G464)</f>
        <v>515606</v>
      </c>
      <c r="I464" s="265"/>
      <c r="J464" s="323">
        <f>ROUND((SUM(F446:F456)*0.15),0)</f>
        <v>52215</v>
      </c>
      <c r="K464" s="324">
        <f>ROUND(SUM(F466:F481,F483)*0.15,0)</f>
        <v>377592</v>
      </c>
      <c r="L464" s="325">
        <f>ROUND(F485*0.15,0)</f>
        <v>85799</v>
      </c>
    </row>
    <row r="465" spans="1:12" x14ac:dyDescent="0.2">
      <c r="B465" s="263"/>
      <c r="C465" s="290"/>
      <c r="D465" s="265"/>
      <c r="E465" s="291"/>
      <c r="F465" s="292"/>
      <c r="G465" s="292"/>
      <c r="H465" s="293"/>
      <c r="I465" s="265"/>
      <c r="J465" s="294"/>
      <c r="K465" s="296"/>
      <c r="L465" s="297"/>
    </row>
    <row r="466" spans="1:12" x14ac:dyDescent="0.2">
      <c r="A466" s="264">
        <v>12</v>
      </c>
      <c r="B466" s="263" t="s">
        <v>54</v>
      </c>
      <c r="C466" s="290"/>
      <c r="D466" s="265"/>
      <c r="E466" s="291"/>
      <c r="F466" s="292">
        <f>(F446+F448+F450+F452+F470+F454+F472++F477+F479+F481+F485+F456+F483+F474)*0.2045</f>
        <v>583597.19199999992</v>
      </c>
      <c r="G466" s="292"/>
      <c r="H466" s="293">
        <f>(F446+F448+F450+F452+F454+F470+F472+F477+F479+F481+F485+F456+F483+F474)*0.2045</f>
        <v>583597.19199999992</v>
      </c>
      <c r="I466" s="265"/>
      <c r="J466" s="323">
        <f>ROUND((SUM(F446:F456)*0.2045),0)</f>
        <v>71186</v>
      </c>
      <c r="K466" s="324">
        <f>ROUND((SUM(F470:F483)*0.2045),0)</f>
        <v>395438</v>
      </c>
      <c r="L466" s="325">
        <f>ROUND(F485*0.2045,0)</f>
        <v>116973</v>
      </c>
    </row>
    <row r="467" spans="1:12" x14ac:dyDescent="0.2">
      <c r="B467" s="263"/>
      <c r="C467" s="290"/>
      <c r="D467" s="265"/>
      <c r="E467" s="291"/>
      <c r="F467" s="292"/>
      <c r="G467" s="292"/>
      <c r="H467" s="293"/>
      <c r="I467" s="265"/>
      <c r="J467" s="294"/>
      <c r="K467" s="296"/>
      <c r="L467" s="297"/>
    </row>
    <row r="468" spans="1:12" x14ac:dyDescent="0.2">
      <c r="A468" s="264">
        <v>13</v>
      </c>
      <c r="B468" s="263" t="s">
        <v>55</v>
      </c>
      <c r="C468" s="290">
        <v>2000</v>
      </c>
      <c r="D468" s="265"/>
      <c r="E468" s="291"/>
      <c r="F468" s="292"/>
      <c r="G468" s="292">
        <f>E493*2000</f>
        <v>86000</v>
      </c>
      <c r="H468" s="293">
        <f t="shared" ref="H468" si="48">SUM(F468+G468)</f>
        <v>86000</v>
      </c>
      <c r="I468" s="265"/>
      <c r="J468" s="294">
        <f>(E446+E448+E450+E452+E454+E456)*2000</f>
        <v>12000</v>
      </c>
      <c r="K468" s="296">
        <f>ROUND(SUM(E472,E477,E479,E481,E483,E474)*2000,0)</f>
        <v>56000</v>
      </c>
      <c r="L468" s="297">
        <f>ROUND(E485*2000,0)</f>
        <v>18000</v>
      </c>
    </row>
    <row r="469" spans="1:12" x14ac:dyDescent="0.2">
      <c r="B469" s="263"/>
      <c r="C469" s="290"/>
      <c r="D469" s="265"/>
      <c r="E469" s="291"/>
      <c r="F469" s="292"/>
      <c r="G469" s="292"/>
      <c r="H469" s="293"/>
      <c r="I469" s="265"/>
      <c r="J469" s="294"/>
      <c r="K469" s="296"/>
      <c r="L469" s="297"/>
    </row>
    <row r="470" spans="1:12" ht="36.75" customHeight="1" x14ac:dyDescent="0.2">
      <c r="A470" s="264">
        <v>14</v>
      </c>
      <c r="B470" s="263" t="s">
        <v>114</v>
      </c>
      <c r="C470" s="290"/>
      <c r="D470" s="265"/>
      <c r="E470" s="291"/>
      <c r="F470" s="292">
        <f>(F477+F481+F483+F472+F474+F485+F479)*0.1</f>
        <v>227789</v>
      </c>
      <c r="G470" s="292"/>
      <c r="H470" s="293">
        <f>SUM(F470+G470)</f>
        <v>227789</v>
      </c>
      <c r="I470" s="265"/>
      <c r="J470" s="294"/>
      <c r="K470" s="296">
        <f>ROUND((+F472+F477+F481+F483+F474+F479)*0.1,0)</f>
        <v>170590</v>
      </c>
      <c r="L470" s="297">
        <f>ROUND(F485*0.1,0)</f>
        <v>57200</v>
      </c>
    </row>
    <row r="471" spans="1:12" x14ac:dyDescent="0.2">
      <c r="B471" s="263"/>
      <c r="C471" s="290"/>
      <c r="D471" s="265"/>
      <c r="E471" s="291"/>
      <c r="F471" s="292"/>
      <c r="G471" s="292"/>
      <c r="H471" s="293"/>
      <c r="I471" s="265"/>
      <c r="J471" s="294"/>
      <c r="K471" s="292"/>
      <c r="L471" s="293"/>
    </row>
    <row r="472" spans="1:12" x14ac:dyDescent="0.2">
      <c r="A472" s="264">
        <v>15</v>
      </c>
      <c r="B472" s="263" t="s">
        <v>57</v>
      </c>
      <c r="C472" s="290">
        <v>69911</v>
      </c>
      <c r="D472" s="265"/>
      <c r="E472" s="326">
        <f>ROUND((E485+E481+E479+E477+E483+E474)/6,0)</f>
        <v>5</v>
      </c>
      <c r="F472" s="292">
        <f>F438*E472</f>
        <v>349555</v>
      </c>
      <c r="G472" s="292"/>
      <c r="H472" s="293">
        <f t="shared" ref="H472" si="49">SUM(F472+G472)</f>
        <v>349555</v>
      </c>
      <c r="I472" s="265"/>
      <c r="J472" s="291"/>
      <c r="K472" s="296">
        <f>ROUND(F472*((+E$49+E$51+E$53)/(E$49+E$51+E$53+E$55)),0)</f>
        <v>220192</v>
      </c>
      <c r="L472" s="297">
        <f>ROUND((+F472*(E$55/(+E$49+E$51+E$53+E$55))),0)</f>
        <v>129363</v>
      </c>
    </row>
    <row r="473" spans="1:12" x14ac:dyDescent="0.2">
      <c r="B473" s="263"/>
      <c r="C473" s="290"/>
      <c r="D473" s="265"/>
      <c r="E473" s="291"/>
      <c r="F473" s="292"/>
      <c r="G473" s="292"/>
      <c r="H473" s="293"/>
      <c r="I473" s="265"/>
      <c r="J473" s="294"/>
      <c r="K473" s="292"/>
      <c r="L473" s="293"/>
    </row>
    <row r="474" spans="1:12" x14ac:dyDescent="0.2">
      <c r="A474" s="301">
        <v>16</v>
      </c>
      <c r="B474" s="301" t="s">
        <v>160</v>
      </c>
      <c r="C474" s="290">
        <v>42470</v>
      </c>
      <c r="D474" s="265"/>
      <c r="E474" s="326">
        <f>ROUNDUP((E485+E481+E479+E477+E483)/6,0)</f>
        <v>5</v>
      </c>
      <c r="F474" s="327">
        <f>F439*E474</f>
        <v>212350</v>
      </c>
      <c r="H474" s="293">
        <f t="shared" ref="H474" si="50">SUM(F474+G474)</f>
        <v>212350</v>
      </c>
      <c r="I474" s="265"/>
      <c r="J474" s="294"/>
      <c r="K474" s="296">
        <f>ROUND(F474*((+E$49+E$51+E$53)/(E$49+E$51+E$53+E$55)),0)</f>
        <v>133764</v>
      </c>
      <c r="L474" s="297">
        <f>ROUND((+F474*(E$55/(+E$49+E$51+E$53+E$55))),0)</f>
        <v>78586</v>
      </c>
    </row>
    <row r="475" spans="1:12" x14ac:dyDescent="0.2">
      <c r="B475" s="263"/>
      <c r="C475" s="290"/>
      <c r="D475" s="265"/>
      <c r="E475" s="291"/>
      <c r="F475" s="292"/>
      <c r="G475" s="292"/>
      <c r="H475" s="293"/>
      <c r="I475" s="265"/>
      <c r="J475" s="294"/>
      <c r="K475" s="292"/>
      <c r="L475" s="293"/>
    </row>
    <row r="476" spans="1:12" ht="15.75" x14ac:dyDescent="0.25">
      <c r="A476" s="282" t="s">
        <v>115</v>
      </c>
      <c r="B476" s="263"/>
      <c r="C476" s="290"/>
      <c r="D476" s="265"/>
      <c r="E476" s="291"/>
      <c r="F476" s="292"/>
      <c r="G476" s="292"/>
      <c r="H476" s="293"/>
      <c r="I476" s="265"/>
      <c r="J476" s="294"/>
      <c r="K476" s="292"/>
      <c r="L476" s="293"/>
    </row>
    <row r="477" spans="1:12" x14ac:dyDescent="0.2">
      <c r="A477" s="300">
        <v>17</v>
      </c>
      <c r="B477" s="301" t="s">
        <v>60</v>
      </c>
      <c r="C477" s="302">
        <v>63555</v>
      </c>
      <c r="D477" s="303"/>
      <c r="E477" s="304">
        <f>ROUND(C433/30,0)</f>
        <v>5</v>
      </c>
      <c r="F477" s="305">
        <f>F437*E477</f>
        <v>317775</v>
      </c>
      <c r="G477" s="305"/>
      <c r="H477" s="293">
        <f t="shared" ref="H477" si="51">SUM(F477+G477)</f>
        <v>317775</v>
      </c>
      <c r="I477" s="303"/>
      <c r="J477" s="306"/>
      <c r="K477" s="292">
        <f>SUM(E477*F437)</f>
        <v>317775</v>
      </c>
      <c r="L477" s="293"/>
    </row>
    <row r="478" spans="1:12" x14ac:dyDescent="0.2">
      <c r="A478" s="301"/>
      <c r="B478" s="301"/>
      <c r="C478" s="290"/>
      <c r="D478" s="265"/>
      <c r="E478" s="291"/>
      <c r="F478" s="292"/>
      <c r="G478" s="292"/>
      <c r="H478" s="293"/>
      <c r="I478" s="265"/>
      <c r="J478" s="294"/>
      <c r="K478" s="292"/>
      <c r="L478" s="293"/>
    </row>
    <row r="479" spans="1:12" ht="30" x14ac:dyDescent="0.2">
      <c r="A479" s="300">
        <v>18</v>
      </c>
      <c r="B479" s="301" t="s">
        <v>61</v>
      </c>
      <c r="C479" s="290">
        <v>63555</v>
      </c>
      <c r="D479" s="265"/>
      <c r="E479" s="291">
        <f>1</f>
        <v>1</v>
      </c>
      <c r="F479" s="292">
        <f>F437*E479</f>
        <v>63555</v>
      </c>
      <c r="G479" s="292"/>
      <c r="H479" s="293">
        <f t="shared" ref="H479" si="52">SUM(F479+G479)</f>
        <v>63555</v>
      </c>
      <c r="I479" s="265"/>
      <c r="J479" s="294" t="s">
        <v>62</v>
      </c>
      <c r="K479" s="292">
        <f>SUM(E479*F437)</f>
        <v>63555</v>
      </c>
      <c r="L479" s="293"/>
    </row>
    <row r="480" spans="1:12" x14ac:dyDescent="0.2">
      <c r="A480" s="301"/>
      <c r="B480" s="301"/>
      <c r="C480" s="290"/>
      <c r="D480" s="265"/>
      <c r="E480" s="291"/>
      <c r="F480" s="292"/>
      <c r="G480" s="292"/>
      <c r="H480" s="293"/>
      <c r="I480" s="265"/>
      <c r="J480" s="294"/>
      <c r="K480" s="292"/>
      <c r="L480" s="293"/>
    </row>
    <row r="481" spans="1:12" x14ac:dyDescent="0.2">
      <c r="A481" s="301">
        <v>19</v>
      </c>
      <c r="B481" s="301" t="s">
        <v>63</v>
      </c>
      <c r="C481" s="290">
        <v>63555</v>
      </c>
      <c r="D481" s="265"/>
      <c r="E481" s="291">
        <f>ROUND(C433/20,0)</f>
        <v>8</v>
      </c>
      <c r="F481" s="292">
        <f>F437*E481</f>
        <v>508440</v>
      </c>
      <c r="G481" s="292"/>
      <c r="H481" s="293">
        <f t="shared" ref="H481" si="53">SUM(F481+G481)</f>
        <v>508440</v>
      </c>
      <c r="I481" s="265"/>
      <c r="J481" s="294"/>
      <c r="K481" s="292">
        <f>SUM(E481*F437)</f>
        <v>508440</v>
      </c>
      <c r="L481" s="293"/>
    </row>
    <row r="482" spans="1:12" x14ac:dyDescent="0.2">
      <c r="A482" s="301"/>
      <c r="B482" s="301"/>
      <c r="C482" s="290"/>
      <c r="D482" s="265"/>
      <c r="E482" s="291"/>
      <c r="F482" s="292"/>
      <c r="G482" s="292"/>
      <c r="H482" s="293"/>
      <c r="I482" s="265"/>
      <c r="J482" s="294"/>
      <c r="K482" s="292"/>
      <c r="L482" s="293"/>
    </row>
    <row r="483" spans="1:12" x14ac:dyDescent="0.2">
      <c r="A483" s="301">
        <v>20</v>
      </c>
      <c r="B483" s="301" t="s">
        <v>111</v>
      </c>
      <c r="C483" s="290">
        <v>63555</v>
      </c>
      <c r="D483" s="265"/>
      <c r="E483" s="328">
        <f>ROUNDDOWN(C434/40,0)</f>
        <v>4</v>
      </c>
      <c r="F483" s="292">
        <f>F437*E483</f>
        <v>254220</v>
      </c>
      <c r="G483" s="292"/>
      <c r="H483" s="293">
        <f t="shared" ref="H483" si="54">SUM(F483+G483)</f>
        <v>254220</v>
      </c>
      <c r="I483" s="290"/>
      <c r="K483" s="265">
        <f>SUM(E483*F437)</f>
        <v>254220</v>
      </c>
      <c r="L483" s="329"/>
    </row>
    <row r="484" spans="1:12" x14ac:dyDescent="0.2">
      <c r="A484" s="301"/>
      <c r="B484" s="301"/>
      <c r="C484" s="290"/>
      <c r="D484" s="265"/>
      <c r="E484" s="291"/>
      <c r="F484" s="292"/>
      <c r="G484" s="292"/>
      <c r="H484" s="293"/>
      <c r="I484" s="290"/>
      <c r="L484" s="329"/>
    </row>
    <row r="485" spans="1:12" x14ac:dyDescent="0.2">
      <c r="A485" s="301">
        <v>21</v>
      </c>
      <c r="B485" s="301" t="s">
        <v>112</v>
      </c>
      <c r="C485" s="290">
        <v>63555</v>
      </c>
      <c r="D485" s="265"/>
      <c r="E485" s="328">
        <f>ROUND(C434/20,0)</f>
        <v>9</v>
      </c>
      <c r="F485" s="292">
        <f>SUM(E485*F437)</f>
        <v>571995</v>
      </c>
      <c r="H485" s="293">
        <f t="shared" ref="H485" si="55">SUM(F485+G485)</f>
        <v>571995</v>
      </c>
      <c r="I485" s="290"/>
      <c r="K485" s="265"/>
      <c r="L485" s="293">
        <f>SUM(H485)</f>
        <v>571995</v>
      </c>
    </row>
    <row r="486" spans="1:12" x14ac:dyDescent="0.2">
      <c r="A486" s="301"/>
      <c r="B486" s="301"/>
      <c r="C486" s="290"/>
      <c r="D486" s="265"/>
      <c r="E486" s="291"/>
      <c r="F486" s="292"/>
      <c r="H486" s="293"/>
      <c r="I486" s="290"/>
      <c r="L486" s="329"/>
    </row>
    <row r="487" spans="1:12" x14ac:dyDescent="0.2">
      <c r="A487" s="301">
        <v>22</v>
      </c>
      <c r="B487" s="301" t="s">
        <v>155</v>
      </c>
      <c r="C487" s="295"/>
      <c r="D487" s="307"/>
      <c r="E487" s="291"/>
      <c r="F487" s="292"/>
      <c r="G487" s="292">
        <f>ROUND(175*C432,0)</f>
        <v>469875</v>
      </c>
      <c r="H487" s="293">
        <f t="shared" ref="H487" si="56">SUM(F487+G487)</f>
        <v>469875</v>
      </c>
      <c r="I487" s="265"/>
      <c r="J487" s="294" t="s">
        <v>62</v>
      </c>
      <c r="K487" s="292">
        <f>ROUND(175/2*C432,0)</f>
        <v>234938</v>
      </c>
      <c r="L487" s="293">
        <f>ROUND(175/2*C432,0)</f>
        <v>234938</v>
      </c>
    </row>
    <row r="488" spans="1:12" x14ac:dyDescent="0.2">
      <c r="A488" s="301"/>
      <c r="B488" s="301"/>
      <c r="C488" s="290"/>
      <c r="D488" s="265"/>
      <c r="E488" s="291"/>
      <c r="F488" s="292"/>
      <c r="G488" s="292"/>
      <c r="H488" s="293"/>
      <c r="I488" s="265"/>
      <c r="J488" s="294"/>
      <c r="K488" s="292"/>
      <c r="L488" s="293"/>
    </row>
    <row r="489" spans="1:12" x14ac:dyDescent="0.2">
      <c r="A489" s="301">
        <v>23</v>
      </c>
      <c r="B489" s="301" t="s">
        <v>66</v>
      </c>
      <c r="C489" s="290">
        <v>11500</v>
      </c>
      <c r="D489" s="265"/>
      <c r="E489" s="291"/>
      <c r="F489" s="292"/>
      <c r="G489" s="292">
        <f>(E446+E472+E483+E477+E479+E481+E485+E474)*11500</f>
        <v>437000</v>
      </c>
      <c r="H489" s="293">
        <f>SUM(F489:G489)</f>
        <v>437000</v>
      </c>
      <c r="I489" s="265"/>
      <c r="J489" s="323">
        <f>ROUND(11500*E446,0)</f>
        <v>11500</v>
      </c>
      <c r="K489" s="296">
        <f>(ROUND(11500*(+E481+E479+E477+E483+E472+E474),0))</f>
        <v>322000</v>
      </c>
      <c r="L489" s="297">
        <f>ROUND(11500*E485,0)</f>
        <v>103500</v>
      </c>
    </row>
    <row r="490" spans="1:12" x14ac:dyDescent="0.2">
      <c r="A490" s="301"/>
      <c r="B490" s="301"/>
      <c r="C490" s="290"/>
      <c r="D490" s="265"/>
      <c r="E490" s="291"/>
      <c r="G490" s="292"/>
      <c r="H490" s="293"/>
      <c r="J490" s="294"/>
      <c r="K490" s="296"/>
      <c r="L490" s="297"/>
    </row>
    <row r="491" spans="1:12" x14ac:dyDescent="0.2">
      <c r="A491" s="301">
        <v>24</v>
      </c>
      <c r="B491" s="301" t="s">
        <v>82</v>
      </c>
      <c r="C491" s="290"/>
      <c r="D491" s="265"/>
      <c r="E491" s="291"/>
      <c r="G491" s="292">
        <v>264500</v>
      </c>
      <c r="H491" s="293">
        <f t="shared" ref="H491" si="57">SUM(F491+G491)</f>
        <v>264500</v>
      </c>
      <c r="I491" s="330"/>
      <c r="J491" s="292"/>
      <c r="K491" s="296"/>
      <c r="L491" s="297">
        <f>+H491</f>
        <v>264500</v>
      </c>
    </row>
    <row r="492" spans="1:12" ht="15.75" thickBot="1" x14ac:dyDescent="0.25">
      <c r="B492" s="331"/>
      <c r="C492" s="332"/>
      <c r="D492" s="265"/>
      <c r="E492" s="291"/>
      <c r="H492" s="293"/>
      <c r="I492" s="333"/>
      <c r="J492" s="265"/>
      <c r="L492" s="293"/>
    </row>
    <row r="493" spans="1:12" ht="16.5" thickBot="1" x14ac:dyDescent="0.3">
      <c r="B493" s="334" t="s">
        <v>67</v>
      </c>
      <c r="C493" s="335"/>
      <c r="D493" s="336"/>
      <c r="E493" s="337">
        <f>SUM(E443:E492)</f>
        <v>43</v>
      </c>
      <c r="F493" s="336">
        <f>SUM(F443:F491)</f>
        <v>3437373.1919999998</v>
      </c>
      <c r="G493" s="336">
        <f>SUM(G444:G491)</f>
        <v>1918181</v>
      </c>
      <c r="H493" s="338">
        <f>SUM(H444:H492)</f>
        <v>5355554.1919999998</v>
      </c>
      <c r="I493" s="336"/>
      <c r="J493" s="339">
        <f>SUM(J444:J491)</f>
        <v>570287</v>
      </c>
      <c r="K493" s="336">
        <f>SUM(K444:K492)</f>
        <v>3054504</v>
      </c>
      <c r="L493" s="340">
        <f>SUM(L443:L492)</f>
        <v>1730765</v>
      </c>
    </row>
    <row r="494" spans="1:12" ht="15.75" x14ac:dyDescent="0.25">
      <c r="B494" s="318"/>
      <c r="C494" s="271"/>
      <c r="D494" s="271"/>
      <c r="E494" s="274"/>
      <c r="J494" s="265"/>
      <c r="K494" s="265"/>
      <c r="L494" s="347"/>
    </row>
    <row r="495" spans="1:12" ht="15.75" x14ac:dyDescent="0.25">
      <c r="C495" s="272"/>
      <c r="D495" s="272"/>
      <c r="E495" s="274"/>
      <c r="L495" s="347"/>
    </row>
    <row r="497" spans="1:12" ht="15.75" x14ac:dyDescent="0.25">
      <c r="A497" s="266" t="s">
        <v>24</v>
      </c>
      <c r="B497" s="267"/>
      <c r="C497" s="320" t="s">
        <v>90</v>
      </c>
    </row>
    <row r="498" spans="1:12" ht="15.75" x14ac:dyDescent="0.25">
      <c r="A498" s="266" t="s">
        <v>77</v>
      </c>
      <c r="B498" s="263"/>
    </row>
    <row r="499" spans="1:12" x14ac:dyDescent="0.2">
      <c r="B499" s="263"/>
      <c r="C499" s="268"/>
      <c r="D499" s="268"/>
    </row>
    <row r="500" spans="1:12" x14ac:dyDescent="0.2">
      <c r="B500" s="263"/>
      <c r="C500" s="269"/>
      <c r="D500" s="269"/>
    </row>
    <row r="501" spans="1:12" ht="15.75" x14ac:dyDescent="0.25">
      <c r="A501" s="264" t="s">
        <v>27</v>
      </c>
      <c r="B501" s="263"/>
      <c r="C501" s="270">
        <v>2899</v>
      </c>
      <c r="D501" s="270" t="s">
        <v>79</v>
      </c>
      <c r="E501" s="271"/>
    </row>
    <row r="502" spans="1:12" ht="15.75" x14ac:dyDescent="0.25">
      <c r="A502" s="264" t="s">
        <v>28</v>
      </c>
      <c r="B502" s="263"/>
      <c r="C502" s="270">
        <f>SUM(C501*0.06)</f>
        <v>173.94</v>
      </c>
      <c r="D502" s="268"/>
      <c r="E502" s="271"/>
    </row>
    <row r="503" spans="1:12" ht="15.75" x14ac:dyDescent="0.25">
      <c r="A503" s="264" t="s">
        <v>29</v>
      </c>
      <c r="B503" s="263"/>
      <c r="C503" s="270">
        <v>193.26666666666668</v>
      </c>
      <c r="D503" s="270"/>
      <c r="E503" s="271"/>
    </row>
    <row r="504" spans="1:12" ht="15.75" x14ac:dyDescent="0.25">
      <c r="B504" s="263" t="s">
        <v>30</v>
      </c>
      <c r="C504" s="270">
        <v>9</v>
      </c>
      <c r="D504" s="268"/>
      <c r="E504" s="271"/>
    </row>
    <row r="505" spans="1:12" x14ac:dyDescent="0.2">
      <c r="B505" s="263"/>
    </row>
    <row r="506" spans="1:12" x14ac:dyDescent="0.2">
      <c r="A506" s="271" t="s">
        <v>107</v>
      </c>
      <c r="B506" s="272"/>
      <c r="D506" s="273"/>
      <c r="F506" s="273">
        <v>63555</v>
      </c>
      <c r="I506" s="265"/>
    </row>
    <row r="507" spans="1:12" x14ac:dyDescent="0.2">
      <c r="A507" s="271" t="s">
        <v>108</v>
      </c>
      <c r="B507" s="272"/>
      <c r="D507" s="273"/>
      <c r="F507" s="273">
        <v>69911</v>
      </c>
      <c r="I507" s="265"/>
    </row>
    <row r="508" spans="1:12" x14ac:dyDescent="0.2">
      <c r="A508" s="271" t="s">
        <v>109</v>
      </c>
      <c r="B508" s="272"/>
      <c r="D508" s="273"/>
      <c r="F508" s="273">
        <v>42470</v>
      </c>
      <c r="I508" s="265"/>
    </row>
    <row r="509" spans="1:12" x14ac:dyDescent="0.2">
      <c r="A509" s="271"/>
      <c r="B509" s="272"/>
      <c r="C509" s="274"/>
      <c r="D509" s="274"/>
      <c r="I509" s="265"/>
    </row>
    <row r="510" spans="1:12" ht="15.75" x14ac:dyDescent="0.25">
      <c r="B510" s="263"/>
      <c r="J510" s="275" t="s">
        <v>34</v>
      </c>
      <c r="K510" s="419" t="s">
        <v>35</v>
      </c>
      <c r="L510" s="420"/>
    </row>
    <row r="511" spans="1:12" ht="15.75" x14ac:dyDescent="0.25">
      <c r="A511" s="266" t="s">
        <v>36</v>
      </c>
      <c r="B511" s="276"/>
      <c r="C511" s="277" t="s">
        <v>80</v>
      </c>
      <c r="D511" s="278"/>
      <c r="E511" s="275" t="s">
        <v>38</v>
      </c>
      <c r="F511" s="275" t="s">
        <v>39</v>
      </c>
      <c r="G511" s="275" t="s">
        <v>40</v>
      </c>
      <c r="H511" s="279" t="s">
        <v>0</v>
      </c>
      <c r="I511" s="280"/>
      <c r="J511" s="277" t="s">
        <v>41</v>
      </c>
      <c r="K511" s="281" t="s">
        <v>42</v>
      </c>
      <c r="L511" s="275" t="s">
        <v>43</v>
      </c>
    </row>
    <row r="512" spans="1:12" ht="15.75" x14ac:dyDescent="0.25">
      <c r="A512" s="282"/>
      <c r="B512" s="276"/>
      <c r="C512" s="283"/>
      <c r="D512" s="278"/>
      <c r="E512" s="284"/>
      <c r="F512" s="285"/>
      <c r="G512" s="285"/>
      <c r="H512" s="286"/>
      <c r="I512" s="280"/>
      <c r="J512" s="287"/>
      <c r="K512" s="288"/>
      <c r="L512" s="289"/>
    </row>
    <row r="513" spans="1:12" x14ac:dyDescent="0.2">
      <c r="A513" s="264">
        <v>1</v>
      </c>
      <c r="B513" s="263" t="s">
        <v>44</v>
      </c>
      <c r="C513" s="290">
        <v>50000</v>
      </c>
      <c r="D513" s="265"/>
      <c r="E513" s="291"/>
      <c r="F513" s="292"/>
      <c r="G513" s="292">
        <f>+C513</f>
        <v>50000</v>
      </c>
      <c r="H513" s="293">
        <f>SUM(F513+G513)</f>
        <v>50000</v>
      </c>
      <c r="I513" s="265"/>
      <c r="J513" s="294">
        <f>+H513</f>
        <v>50000</v>
      </c>
      <c r="K513" s="292"/>
      <c r="L513" s="293"/>
    </row>
    <row r="514" spans="1:12" x14ac:dyDescent="0.2">
      <c r="B514" s="263"/>
      <c r="C514" s="290"/>
      <c r="D514" s="265"/>
      <c r="E514" s="291"/>
      <c r="F514" s="292"/>
      <c r="G514" s="292"/>
      <c r="H514" s="293"/>
      <c r="I514" s="265"/>
      <c r="J514" s="294"/>
      <c r="K514" s="292"/>
      <c r="L514" s="293"/>
    </row>
    <row r="515" spans="1:12" x14ac:dyDescent="0.2">
      <c r="A515" s="264">
        <v>2</v>
      </c>
      <c r="B515" s="263" t="s">
        <v>45</v>
      </c>
      <c r="C515" s="290">
        <v>89606</v>
      </c>
      <c r="D515" s="265"/>
      <c r="E515" s="291">
        <v>1</v>
      </c>
      <c r="F515" s="292">
        <f>+C515*E515</f>
        <v>89606</v>
      </c>
      <c r="G515" s="292"/>
      <c r="H515" s="293">
        <f>SUM(F515+G515)</f>
        <v>89606</v>
      </c>
      <c r="I515" s="265"/>
      <c r="J515" s="294">
        <f>+H515</f>
        <v>89606</v>
      </c>
      <c r="K515" s="292"/>
      <c r="L515" s="293"/>
    </row>
    <row r="516" spans="1:12" x14ac:dyDescent="0.2">
      <c r="B516" s="263"/>
      <c r="C516" s="290"/>
      <c r="D516" s="265"/>
      <c r="E516" s="291"/>
      <c r="F516" s="292"/>
      <c r="G516" s="292"/>
      <c r="H516" s="293"/>
      <c r="I516" s="265"/>
      <c r="J516" s="294"/>
      <c r="K516" s="292"/>
      <c r="L516" s="293"/>
    </row>
    <row r="517" spans="1:12" x14ac:dyDescent="0.2">
      <c r="A517" s="264">
        <v>3</v>
      </c>
      <c r="B517" s="301" t="s">
        <v>176</v>
      </c>
      <c r="C517" s="290">
        <v>69911</v>
      </c>
      <c r="D517" s="265"/>
      <c r="E517" s="291">
        <v>1</v>
      </c>
      <c r="F517" s="292">
        <f>+C517*E517</f>
        <v>69911</v>
      </c>
      <c r="G517" s="292"/>
      <c r="H517" s="293">
        <f>SUM(F517+G517)</f>
        <v>69911</v>
      </c>
      <c r="I517" s="265"/>
      <c r="J517" s="294"/>
      <c r="K517" s="292"/>
      <c r="L517" s="293">
        <f>$H$92</f>
        <v>69911</v>
      </c>
    </row>
    <row r="518" spans="1:12" x14ac:dyDescent="0.2">
      <c r="B518" s="263"/>
      <c r="C518" s="290"/>
      <c r="D518" s="265"/>
      <c r="E518" s="291"/>
      <c r="F518" s="292"/>
      <c r="G518" s="292"/>
      <c r="H518" s="293"/>
      <c r="I518" s="265"/>
      <c r="J518" s="294"/>
      <c r="K518" s="292"/>
      <c r="L518" s="293"/>
    </row>
    <row r="519" spans="1:12" x14ac:dyDescent="0.2">
      <c r="A519" s="264">
        <v>4</v>
      </c>
      <c r="B519" s="263" t="s">
        <v>46</v>
      </c>
      <c r="C519" s="290">
        <v>45865</v>
      </c>
      <c r="D519" s="265"/>
      <c r="E519" s="291">
        <v>1</v>
      </c>
      <c r="F519" s="292">
        <f>+C519*E519</f>
        <v>45865</v>
      </c>
      <c r="G519" s="292"/>
      <c r="H519" s="293">
        <f>SUM(F519+G519)</f>
        <v>45865</v>
      </c>
      <c r="I519" s="265"/>
      <c r="J519" s="294">
        <f>+H519</f>
        <v>45865</v>
      </c>
      <c r="K519" s="292"/>
      <c r="L519" s="293"/>
    </row>
    <row r="520" spans="1:12" x14ac:dyDescent="0.2">
      <c r="B520" s="263"/>
      <c r="C520" s="290"/>
      <c r="D520" s="265"/>
      <c r="E520" s="291"/>
      <c r="F520" s="292"/>
      <c r="G520" s="292"/>
      <c r="H520" s="293"/>
      <c r="I520" s="265"/>
      <c r="J520" s="294"/>
      <c r="K520" s="292"/>
      <c r="L520" s="293"/>
    </row>
    <row r="521" spans="1:12" x14ac:dyDescent="0.2">
      <c r="A521" s="264">
        <v>5</v>
      </c>
      <c r="B521" s="263" t="s">
        <v>47</v>
      </c>
      <c r="C521" s="290">
        <v>42470</v>
      </c>
      <c r="D521" s="265"/>
      <c r="E521" s="291">
        <v>1</v>
      </c>
      <c r="F521" s="292">
        <f>+C521*E521</f>
        <v>42470</v>
      </c>
      <c r="G521" s="292"/>
      <c r="H521" s="293">
        <f>SUM(F521+G521)</f>
        <v>42470</v>
      </c>
      <c r="I521" s="265"/>
      <c r="J521" s="294">
        <f>+H521</f>
        <v>42470</v>
      </c>
      <c r="K521" s="292"/>
      <c r="L521" s="293"/>
    </row>
    <row r="522" spans="1:12" x14ac:dyDescent="0.2">
      <c r="B522" s="263"/>
      <c r="C522" s="290"/>
      <c r="D522" s="265"/>
      <c r="E522" s="291"/>
      <c r="F522" s="292"/>
      <c r="G522" s="292"/>
      <c r="H522" s="293"/>
      <c r="I522" s="265"/>
      <c r="J522" s="294"/>
      <c r="K522" s="292"/>
      <c r="L522" s="293"/>
    </row>
    <row r="523" spans="1:12" x14ac:dyDescent="0.2">
      <c r="A523" s="264">
        <v>6</v>
      </c>
      <c r="B523" s="263" t="s">
        <v>113</v>
      </c>
      <c r="C523" s="290">
        <v>57775</v>
      </c>
      <c r="D523" s="265"/>
      <c r="E523" s="291">
        <v>1</v>
      </c>
      <c r="F523" s="292">
        <f>+C523*E523</f>
        <v>57775</v>
      </c>
      <c r="G523" s="292"/>
      <c r="H523" s="293">
        <f>SUM(F523+G523)</f>
        <v>57775</v>
      </c>
      <c r="I523" s="265"/>
      <c r="J523" s="294">
        <f>+H523</f>
        <v>57775</v>
      </c>
      <c r="K523" s="292"/>
      <c r="L523" s="293"/>
    </row>
    <row r="524" spans="1:12" x14ac:dyDescent="0.2">
      <c r="B524" s="263"/>
      <c r="C524" s="290"/>
      <c r="D524" s="265"/>
      <c r="E524" s="291"/>
      <c r="F524" s="292"/>
      <c r="G524" s="292"/>
      <c r="H524" s="293"/>
      <c r="I524" s="265"/>
      <c r="J524" s="294"/>
      <c r="K524" s="292"/>
      <c r="L524" s="293"/>
    </row>
    <row r="525" spans="1:12" x14ac:dyDescent="0.2">
      <c r="A525" s="264">
        <v>7</v>
      </c>
      <c r="B525" s="263" t="s">
        <v>151</v>
      </c>
      <c r="C525" s="273">
        <v>42470</v>
      </c>
      <c r="D525" s="265"/>
      <c r="E525" s="322">
        <f>ROUNDDOWN(C502/100,0)</f>
        <v>1</v>
      </c>
      <c r="F525" s="292">
        <f>SUM(E525*C525)</f>
        <v>42470</v>
      </c>
      <c r="G525" s="292"/>
      <c r="H525" s="293">
        <f>SUM(F525+G525)</f>
        <v>42470</v>
      </c>
      <c r="I525" s="265"/>
      <c r="J525" s="293">
        <f>SUM(H525+I525)</f>
        <v>42470</v>
      </c>
      <c r="K525" s="296"/>
      <c r="L525" s="297"/>
    </row>
    <row r="526" spans="1:12" x14ac:dyDescent="0.2">
      <c r="B526" s="263" t="s">
        <v>199</v>
      </c>
      <c r="C526" s="273"/>
      <c r="D526" s="265"/>
      <c r="E526" s="322"/>
      <c r="F526" s="292"/>
      <c r="G526" s="292">
        <v>10200</v>
      </c>
      <c r="H526" s="293">
        <v>10200</v>
      </c>
      <c r="I526" s="265"/>
      <c r="J526" s="292">
        <v>10200</v>
      </c>
      <c r="K526" s="292"/>
      <c r="L526" s="293"/>
    </row>
    <row r="527" spans="1:12" x14ac:dyDescent="0.2">
      <c r="A527" s="264">
        <v>8</v>
      </c>
      <c r="B527" s="263" t="s">
        <v>50</v>
      </c>
      <c r="C527" s="290">
        <v>15000</v>
      </c>
      <c r="D527" s="265"/>
      <c r="E527" s="291"/>
      <c r="F527" s="292"/>
      <c r="G527" s="292">
        <f>+C527</f>
        <v>15000</v>
      </c>
      <c r="H527" s="293">
        <f>SUM(F527+G527)</f>
        <v>15000</v>
      </c>
      <c r="I527" s="265"/>
      <c r="J527" s="323">
        <f>+H527</f>
        <v>15000</v>
      </c>
      <c r="K527" s="292"/>
      <c r="L527" s="293"/>
    </row>
    <row r="528" spans="1:12" x14ac:dyDescent="0.2">
      <c r="B528" s="263"/>
      <c r="C528" s="290"/>
      <c r="D528" s="265"/>
      <c r="E528" s="291"/>
      <c r="F528" s="292"/>
      <c r="G528" s="292"/>
      <c r="H528" s="293"/>
      <c r="I528" s="265"/>
      <c r="J528" s="323"/>
      <c r="K528" s="292"/>
      <c r="L528" s="293"/>
    </row>
    <row r="529" spans="1:12" x14ac:dyDescent="0.2">
      <c r="A529" s="264">
        <v>9</v>
      </c>
      <c r="B529" s="263" t="s">
        <v>51</v>
      </c>
      <c r="C529" s="290">
        <v>30000</v>
      </c>
      <c r="D529" s="265"/>
      <c r="E529" s="291"/>
      <c r="F529" s="292"/>
      <c r="G529" s="292">
        <f>+C529</f>
        <v>30000</v>
      </c>
      <c r="H529" s="293">
        <f>SUM(F529+G529)</f>
        <v>30000</v>
      </c>
      <c r="I529" s="265"/>
      <c r="J529" s="323">
        <f>+H529</f>
        <v>30000</v>
      </c>
      <c r="K529" s="292"/>
      <c r="L529" s="293"/>
    </row>
    <row r="530" spans="1:12" x14ac:dyDescent="0.2">
      <c r="B530" s="263"/>
      <c r="C530" s="290"/>
      <c r="D530" s="265"/>
      <c r="E530" s="291"/>
      <c r="F530" s="292"/>
      <c r="G530" s="292"/>
      <c r="H530" s="293"/>
      <c r="I530" s="265"/>
      <c r="J530" s="323"/>
      <c r="K530" s="292"/>
      <c r="L530" s="293"/>
    </row>
    <row r="531" spans="1:12" x14ac:dyDescent="0.2">
      <c r="A531" s="264">
        <v>10</v>
      </c>
      <c r="B531" s="263" t="s">
        <v>52</v>
      </c>
      <c r="C531" s="290">
        <v>40000</v>
      </c>
      <c r="D531" s="265"/>
      <c r="E531" s="291"/>
      <c r="F531" s="292"/>
      <c r="G531" s="292">
        <f>+C531</f>
        <v>40000</v>
      </c>
      <c r="H531" s="293">
        <f>SUM(F531+G531)</f>
        <v>40000</v>
      </c>
      <c r="I531" s="265"/>
      <c r="J531" s="323">
        <f>+H531</f>
        <v>40000</v>
      </c>
      <c r="K531" s="292"/>
      <c r="L531" s="293"/>
    </row>
    <row r="532" spans="1:12" x14ac:dyDescent="0.2">
      <c r="B532" s="263"/>
      <c r="C532" s="290"/>
      <c r="D532" s="265"/>
      <c r="E532" s="291"/>
      <c r="F532" s="292"/>
      <c r="G532" s="292"/>
      <c r="H532" s="293"/>
      <c r="I532" s="265"/>
      <c r="J532" s="294"/>
      <c r="K532" s="292"/>
      <c r="L532" s="293"/>
    </row>
    <row r="533" spans="1:12" x14ac:dyDescent="0.2">
      <c r="A533" s="264">
        <v>11</v>
      </c>
      <c r="B533" s="263" t="s">
        <v>53</v>
      </c>
      <c r="C533" s="290"/>
      <c r="D533" s="265"/>
      <c r="E533" s="291"/>
      <c r="F533" s="292"/>
      <c r="G533" s="292">
        <f>ROUND((F515+F517+F519+F521+F523+F535+F539+F541+F546+F548+F550+F552+F525+F554+F543)*0.15,0)</f>
        <v>567394</v>
      </c>
      <c r="H533" s="293">
        <f>SUM(G533)</f>
        <v>567394</v>
      </c>
      <c r="I533" s="265"/>
      <c r="J533" s="323">
        <f>ROUND((SUM(F515:F525)*0.15),0)</f>
        <v>52215</v>
      </c>
      <c r="K533" s="324">
        <f>ROUND(SUM(F535:F550,F552)*0.15,0)</f>
        <v>419846</v>
      </c>
      <c r="L533" s="325">
        <f>ROUND(F554*0.15,0)</f>
        <v>95333</v>
      </c>
    </row>
    <row r="534" spans="1:12" x14ac:dyDescent="0.2">
      <c r="B534" s="263"/>
      <c r="C534" s="290"/>
      <c r="D534" s="265"/>
      <c r="E534" s="291"/>
      <c r="F534" s="292"/>
      <c r="G534" s="292"/>
      <c r="H534" s="293"/>
      <c r="I534" s="265"/>
      <c r="J534" s="294"/>
      <c r="K534" s="296"/>
      <c r="L534" s="297"/>
    </row>
    <row r="535" spans="1:12" x14ac:dyDescent="0.2">
      <c r="A535" s="264">
        <v>12</v>
      </c>
      <c r="B535" s="263" t="s">
        <v>54</v>
      </c>
      <c r="C535" s="290"/>
      <c r="D535" s="265"/>
      <c r="E535" s="291"/>
      <c r="F535" s="292">
        <f>(F515+F517+F519+F521+F539+F523+F541++F546+F548+F550+F554+F525+F552+F543)*0.2045</f>
        <v>642213.76319999993</v>
      </c>
      <c r="G535" s="292"/>
      <c r="H535" s="293">
        <f>(F515+F517+F519+F521+F523+F539+F541+F546+F548+F550+F554+F525+F552+F543)*0.2045</f>
        <v>642213.76319999993</v>
      </c>
      <c r="I535" s="265"/>
      <c r="J535" s="323">
        <f>ROUND((SUM(F515:F525)*0.2045),0)</f>
        <v>71186</v>
      </c>
      <c r="K535" s="324">
        <f>ROUND((SUM(F539:F552)*0.2045),0)</f>
        <v>441058</v>
      </c>
      <c r="L535" s="325">
        <f>ROUND(F554*0.2045,0)</f>
        <v>129970</v>
      </c>
    </row>
    <row r="536" spans="1:12" x14ac:dyDescent="0.2">
      <c r="B536" s="263"/>
      <c r="C536" s="290"/>
      <c r="D536" s="265"/>
      <c r="E536" s="291"/>
      <c r="F536" s="292"/>
      <c r="G536" s="292"/>
      <c r="H536" s="293"/>
      <c r="I536" s="265"/>
      <c r="J536" s="294"/>
      <c r="K536" s="296"/>
      <c r="L536" s="297"/>
    </row>
    <row r="537" spans="1:12" x14ac:dyDescent="0.2">
      <c r="A537" s="264">
        <v>13</v>
      </c>
      <c r="B537" s="263" t="s">
        <v>55</v>
      </c>
      <c r="C537" s="290">
        <v>2000</v>
      </c>
      <c r="D537" s="265"/>
      <c r="E537" s="291"/>
      <c r="F537" s="292"/>
      <c r="G537" s="292">
        <f>E562*2000</f>
        <v>94000</v>
      </c>
      <c r="H537" s="293">
        <f t="shared" ref="H537" si="58">SUM(F537+G537)</f>
        <v>94000</v>
      </c>
      <c r="I537" s="265"/>
      <c r="J537" s="294">
        <f>(E515+E517+E519+E521+E523+E525)*2000</f>
        <v>12000</v>
      </c>
      <c r="K537" s="296">
        <f>ROUND(SUM(E541,E546,E548,E550,E552,E543)*2000,0)</f>
        <v>62000</v>
      </c>
      <c r="L537" s="297">
        <f>ROUND(E554*2000,0)</f>
        <v>20000</v>
      </c>
    </row>
    <row r="538" spans="1:12" x14ac:dyDescent="0.2">
      <c r="B538" s="263"/>
      <c r="C538" s="290"/>
      <c r="D538" s="265"/>
      <c r="E538" s="291"/>
      <c r="F538" s="292"/>
      <c r="G538" s="292"/>
      <c r="H538" s="293"/>
      <c r="I538" s="265"/>
      <c r="J538" s="294"/>
      <c r="K538" s="296"/>
      <c r="L538" s="297"/>
    </row>
    <row r="539" spans="1:12" ht="36.75" customHeight="1" x14ac:dyDescent="0.2">
      <c r="A539" s="264">
        <v>14</v>
      </c>
      <c r="B539" s="263" t="s">
        <v>114</v>
      </c>
      <c r="C539" s="290"/>
      <c r="D539" s="265"/>
      <c r="E539" s="291"/>
      <c r="F539" s="292">
        <f>(F546+F550+F552+F541+F543+F554+F548)*0.1</f>
        <v>253846.6</v>
      </c>
      <c r="G539" s="292"/>
      <c r="H539" s="293">
        <f>SUM(F539+G539)</f>
        <v>253846.6</v>
      </c>
      <c r="I539" s="265"/>
      <c r="J539" s="294"/>
      <c r="K539" s="296">
        <f>ROUND((+F541+F546+F550+F552+F543+F548)*0.1,0)</f>
        <v>190292</v>
      </c>
      <c r="L539" s="297">
        <f>ROUND(F554*0.1,0)</f>
        <v>63555</v>
      </c>
    </row>
    <row r="540" spans="1:12" x14ac:dyDescent="0.2">
      <c r="B540" s="263"/>
      <c r="C540" s="290"/>
      <c r="D540" s="265"/>
      <c r="E540" s="291"/>
      <c r="F540" s="292"/>
      <c r="G540" s="292"/>
      <c r="H540" s="293"/>
      <c r="I540" s="265"/>
      <c r="J540" s="294"/>
      <c r="K540" s="292"/>
      <c r="L540" s="293"/>
    </row>
    <row r="541" spans="1:12" x14ac:dyDescent="0.2">
      <c r="A541" s="264">
        <v>15</v>
      </c>
      <c r="B541" s="263" t="s">
        <v>57</v>
      </c>
      <c r="C541" s="290">
        <v>69911</v>
      </c>
      <c r="D541" s="265"/>
      <c r="E541" s="326">
        <f>ROUND((E554+E550+E548+E546+E552+E543)/6,0)</f>
        <v>6</v>
      </c>
      <c r="F541" s="292">
        <f>F507*E541</f>
        <v>419466</v>
      </c>
      <c r="G541" s="292"/>
      <c r="H541" s="293">
        <f t="shared" ref="H541" si="59">SUM(F541+G541)</f>
        <v>419466</v>
      </c>
      <c r="I541" s="265"/>
      <c r="J541" s="291"/>
      <c r="K541" s="296">
        <f>ROUND(F541*((+E$49+E$51+E$53)/(E$49+E$51+E$53+E$55)),0)</f>
        <v>264231</v>
      </c>
      <c r="L541" s="297">
        <f>ROUND((+F541*(E$55/(+E$49+E$51+E$53+E$55))),0)</f>
        <v>155235</v>
      </c>
    </row>
    <row r="542" spans="1:12" x14ac:dyDescent="0.2">
      <c r="B542" s="263"/>
      <c r="C542" s="290"/>
      <c r="D542" s="265"/>
      <c r="E542" s="291"/>
      <c r="F542" s="292"/>
      <c r="G542" s="292"/>
      <c r="H542" s="293"/>
      <c r="I542" s="265"/>
      <c r="J542" s="294"/>
      <c r="K542" s="292"/>
      <c r="L542" s="293"/>
    </row>
    <row r="543" spans="1:12" x14ac:dyDescent="0.2">
      <c r="A543" s="301">
        <v>16</v>
      </c>
      <c r="B543" s="301" t="s">
        <v>160</v>
      </c>
      <c r="C543" s="290">
        <v>42470</v>
      </c>
      <c r="D543" s="265"/>
      <c r="E543" s="326">
        <f>ROUNDUP((E554+E550+E548+E546+E552)/6,0)</f>
        <v>5</v>
      </c>
      <c r="F543" s="327">
        <f>F508*E543</f>
        <v>212350</v>
      </c>
      <c r="H543" s="293">
        <f t="shared" ref="H543" si="60">SUM(F543+G543)</f>
        <v>212350</v>
      </c>
      <c r="I543" s="265"/>
      <c r="J543" s="294"/>
      <c r="K543" s="296">
        <f>ROUND(F543*((+E$49+E$51+E$53)/(E$49+E$51+E$53+E$55)),0)</f>
        <v>133764</v>
      </c>
      <c r="L543" s="297">
        <f>ROUND((+F543*(E$55/(+E$49+E$51+E$53+E$55))),0)</f>
        <v>78586</v>
      </c>
    </row>
    <row r="544" spans="1:12" x14ac:dyDescent="0.2">
      <c r="B544" s="263"/>
      <c r="C544" s="290"/>
      <c r="D544" s="265"/>
      <c r="E544" s="291"/>
      <c r="F544" s="292"/>
      <c r="G544" s="292"/>
      <c r="H544" s="293"/>
      <c r="I544" s="265"/>
      <c r="J544" s="294"/>
      <c r="K544" s="292"/>
      <c r="L544" s="293"/>
    </row>
    <row r="545" spans="1:12" ht="15.75" x14ac:dyDescent="0.25">
      <c r="A545" s="282" t="s">
        <v>115</v>
      </c>
      <c r="B545" s="263"/>
      <c r="C545" s="290"/>
      <c r="D545" s="265"/>
      <c r="E545" s="291"/>
      <c r="F545" s="292"/>
      <c r="G545" s="292"/>
      <c r="H545" s="293"/>
      <c r="I545" s="265"/>
      <c r="J545" s="294"/>
      <c r="K545" s="292"/>
      <c r="L545" s="293"/>
    </row>
    <row r="546" spans="1:12" x14ac:dyDescent="0.2">
      <c r="A546" s="300">
        <v>17</v>
      </c>
      <c r="B546" s="301" t="s">
        <v>60</v>
      </c>
      <c r="C546" s="302">
        <v>63555</v>
      </c>
      <c r="D546" s="303"/>
      <c r="E546" s="304">
        <f>ROUND(C502/30,0)</f>
        <v>6</v>
      </c>
      <c r="F546" s="305">
        <f>F506*E546</f>
        <v>381330</v>
      </c>
      <c r="G546" s="305"/>
      <c r="H546" s="293">
        <f t="shared" ref="H546" si="61">SUM(F546+G546)</f>
        <v>381330</v>
      </c>
      <c r="I546" s="303"/>
      <c r="J546" s="306"/>
      <c r="K546" s="292">
        <f>SUM(E546*F506)</f>
        <v>381330</v>
      </c>
      <c r="L546" s="293"/>
    </row>
    <row r="547" spans="1:12" x14ac:dyDescent="0.2">
      <c r="A547" s="301"/>
      <c r="B547" s="301"/>
      <c r="C547" s="290"/>
      <c r="D547" s="265"/>
      <c r="E547" s="291"/>
      <c r="F547" s="292"/>
      <c r="G547" s="292"/>
      <c r="H547" s="293"/>
      <c r="I547" s="265"/>
      <c r="J547" s="294"/>
      <c r="K547" s="292"/>
      <c r="L547" s="293"/>
    </row>
    <row r="548" spans="1:12" ht="30" x14ac:dyDescent="0.2">
      <c r="A548" s="300">
        <v>18</v>
      </c>
      <c r="B548" s="301" t="s">
        <v>61</v>
      </c>
      <c r="C548" s="290">
        <v>63555</v>
      </c>
      <c r="D548" s="265"/>
      <c r="E548" s="291">
        <f>1</f>
        <v>1</v>
      </c>
      <c r="F548" s="292">
        <f>F506*E548</f>
        <v>63555</v>
      </c>
      <c r="G548" s="292"/>
      <c r="H548" s="293">
        <f t="shared" ref="H548" si="62">SUM(F548+G548)</f>
        <v>63555</v>
      </c>
      <c r="I548" s="265"/>
      <c r="J548" s="294" t="s">
        <v>62</v>
      </c>
      <c r="K548" s="292">
        <f>SUM(E548*F506)</f>
        <v>63555</v>
      </c>
      <c r="L548" s="293"/>
    </row>
    <row r="549" spans="1:12" x14ac:dyDescent="0.2">
      <c r="A549" s="301"/>
      <c r="B549" s="301"/>
      <c r="C549" s="290"/>
      <c r="D549" s="265"/>
      <c r="E549" s="291"/>
      <c r="F549" s="292"/>
      <c r="G549" s="292"/>
      <c r="H549" s="293"/>
      <c r="I549" s="265"/>
      <c r="J549" s="294"/>
      <c r="K549" s="292"/>
      <c r="L549" s="293"/>
    </row>
    <row r="550" spans="1:12" x14ac:dyDescent="0.2">
      <c r="A550" s="301">
        <v>19</v>
      </c>
      <c r="B550" s="301" t="s">
        <v>63</v>
      </c>
      <c r="C550" s="290">
        <v>63555</v>
      </c>
      <c r="D550" s="265"/>
      <c r="E550" s="291">
        <f>ROUND(C502/20,0)</f>
        <v>9</v>
      </c>
      <c r="F550" s="292">
        <f>F506*E550</f>
        <v>571995</v>
      </c>
      <c r="G550" s="292"/>
      <c r="H550" s="293">
        <f t="shared" ref="H550" si="63">SUM(F550+G550)</f>
        <v>571995</v>
      </c>
      <c r="I550" s="265"/>
      <c r="J550" s="294"/>
      <c r="K550" s="292">
        <f>SUM(E550*F506)</f>
        <v>571995</v>
      </c>
      <c r="L550" s="293"/>
    </row>
    <row r="551" spans="1:12" x14ac:dyDescent="0.2">
      <c r="A551" s="301"/>
      <c r="B551" s="301"/>
      <c r="C551" s="290"/>
      <c r="D551" s="265"/>
      <c r="E551" s="291"/>
      <c r="F551" s="292"/>
      <c r="G551" s="292"/>
      <c r="H551" s="293"/>
      <c r="I551" s="265"/>
      <c r="J551" s="294"/>
      <c r="K551" s="292"/>
      <c r="L551" s="293"/>
    </row>
    <row r="552" spans="1:12" x14ac:dyDescent="0.2">
      <c r="A552" s="301">
        <v>20</v>
      </c>
      <c r="B552" s="301" t="s">
        <v>111</v>
      </c>
      <c r="C552" s="290">
        <v>63555</v>
      </c>
      <c r="D552" s="265"/>
      <c r="E552" s="328">
        <f>ROUNDDOWN(C503/40,0)</f>
        <v>4</v>
      </c>
      <c r="F552" s="292">
        <f>F506*E552</f>
        <v>254220</v>
      </c>
      <c r="G552" s="292"/>
      <c r="H552" s="293">
        <f t="shared" ref="H552" si="64">SUM(F552+G552)</f>
        <v>254220</v>
      </c>
      <c r="I552" s="290"/>
      <c r="K552" s="265">
        <f>SUM(E552*F506)</f>
        <v>254220</v>
      </c>
      <c r="L552" s="329"/>
    </row>
    <row r="553" spans="1:12" x14ac:dyDescent="0.2">
      <c r="A553" s="301"/>
      <c r="B553" s="301"/>
      <c r="C553" s="290"/>
      <c r="D553" s="265"/>
      <c r="E553" s="291"/>
      <c r="F553" s="292"/>
      <c r="G553" s="292"/>
      <c r="H553" s="293"/>
      <c r="I553" s="290"/>
      <c r="L553" s="329"/>
    </row>
    <row r="554" spans="1:12" x14ac:dyDescent="0.2">
      <c r="A554" s="301">
        <v>21</v>
      </c>
      <c r="B554" s="301" t="s">
        <v>112</v>
      </c>
      <c r="C554" s="290">
        <v>63555</v>
      </c>
      <c r="D554" s="265"/>
      <c r="E554" s="328">
        <f>ROUND(C503/20,0)</f>
        <v>10</v>
      </c>
      <c r="F554" s="292">
        <f>SUM(E554*F506)</f>
        <v>635550</v>
      </c>
      <c r="H554" s="293">
        <f t="shared" ref="H554" si="65">SUM(F554+G554)</f>
        <v>635550</v>
      </c>
      <c r="I554" s="290"/>
      <c r="K554" s="265"/>
      <c r="L554" s="293">
        <f>SUM(H554)</f>
        <v>635550</v>
      </c>
    </row>
    <row r="555" spans="1:12" x14ac:dyDescent="0.2">
      <c r="A555" s="301"/>
      <c r="B555" s="301"/>
      <c r="C555" s="290"/>
      <c r="D555" s="265"/>
      <c r="E555" s="291"/>
      <c r="F555" s="292"/>
      <c r="H555" s="293"/>
      <c r="I555" s="290"/>
      <c r="L555" s="329"/>
    </row>
    <row r="556" spans="1:12" x14ac:dyDescent="0.2">
      <c r="A556" s="301">
        <v>22</v>
      </c>
      <c r="B556" s="301" t="s">
        <v>155</v>
      </c>
      <c r="C556" s="295"/>
      <c r="D556" s="307"/>
      <c r="E556" s="291"/>
      <c r="F556" s="292"/>
      <c r="G556" s="292">
        <f>ROUND(175*C501,0)</f>
        <v>507325</v>
      </c>
      <c r="H556" s="293">
        <f t="shared" ref="H556" si="66">SUM(F556+G556)</f>
        <v>507325</v>
      </c>
      <c r="I556" s="265"/>
      <c r="J556" s="294" t="s">
        <v>62</v>
      </c>
      <c r="K556" s="292">
        <f>ROUND(175/2*C501,0)</f>
        <v>253663</v>
      </c>
      <c r="L556" s="293">
        <f>ROUND(175/2*C501,0)</f>
        <v>253663</v>
      </c>
    </row>
    <row r="557" spans="1:12" x14ac:dyDescent="0.2">
      <c r="A557" s="301"/>
      <c r="B557" s="301"/>
      <c r="C557" s="290"/>
      <c r="D557" s="265"/>
      <c r="E557" s="291"/>
      <c r="F557" s="292"/>
      <c r="G557" s="292"/>
      <c r="H557" s="293"/>
      <c r="I557" s="265"/>
      <c r="J557" s="294"/>
      <c r="K557" s="292"/>
      <c r="L557" s="293"/>
    </row>
    <row r="558" spans="1:12" x14ac:dyDescent="0.2">
      <c r="A558" s="301">
        <v>23</v>
      </c>
      <c r="B558" s="301" t="s">
        <v>66</v>
      </c>
      <c r="C558" s="290">
        <v>11500</v>
      </c>
      <c r="D558" s="265"/>
      <c r="E558" s="291"/>
      <c r="F558" s="292"/>
      <c r="G558" s="292">
        <f>(E515+E541+E552+E546+E548+E550+E554+E543)*11500</f>
        <v>483000</v>
      </c>
      <c r="H558" s="293">
        <f>SUM(F558:G558)</f>
        <v>483000</v>
      </c>
      <c r="I558" s="265"/>
      <c r="J558" s="323">
        <f>ROUND(11500*E515,0)</f>
        <v>11500</v>
      </c>
      <c r="K558" s="296">
        <f>(ROUND(11500*(+E550+E548+E546+E552+E541+E543),0))</f>
        <v>356500</v>
      </c>
      <c r="L558" s="297">
        <f>ROUND(11500*E554,0)</f>
        <v>115000</v>
      </c>
    </row>
    <row r="559" spans="1:12" x14ac:dyDescent="0.2">
      <c r="A559" s="301"/>
      <c r="B559" s="301"/>
      <c r="C559" s="290"/>
      <c r="D559" s="265"/>
      <c r="E559" s="291"/>
      <c r="G559" s="292"/>
      <c r="H559" s="293"/>
      <c r="J559" s="294"/>
      <c r="K559" s="296"/>
      <c r="L559" s="297"/>
    </row>
    <row r="560" spans="1:12" x14ac:dyDescent="0.2">
      <c r="A560" s="301">
        <v>24</v>
      </c>
      <c r="B560" s="301" t="s">
        <v>82</v>
      </c>
      <c r="C560" s="290"/>
      <c r="D560" s="265"/>
      <c r="E560" s="291"/>
      <c r="G560" s="292">
        <v>115000</v>
      </c>
      <c r="H560" s="293">
        <f t="shared" ref="H560" si="67">SUM(F560+G560)</f>
        <v>115000</v>
      </c>
      <c r="I560" s="330"/>
      <c r="J560" s="292"/>
      <c r="K560" s="296"/>
      <c r="L560" s="297">
        <f>+H560</f>
        <v>115000</v>
      </c>
    </row>
    <row r="561" spans="1:12" ht="15.75" thickBot="1" x14ac:dyDescent="0.25">
      <c r="B561" s="331"/>
      <c r="C561" s="332"/>
      <c r="D561" s="265"/>
      <c r="E561" s="291"/>
      <c r="H561" s="293"/>
      <c r="I561" s="333"/>
      <c r="J561" s="265"/>
      <c r="L561" s="293"/>
    </row>
    <row r="562" spans="1:12" ht="16.5" thickBot="1" x14ac:dyDescent="0.3">
      <c r="B562" s="334" t="s">
        <v>67</v>
      </c>
      <c r="C562" s="335"/>
      <c r="D562" s="336"/>
      <c r="E562" s="337">
        <f>SUM(E512:E561)</f>
        <v>47</v>
      </c>
      <c r="F562" s="336">
        <f>SUM(F512:F560)</f>
        <v>3782623.3632</v>
      </c>
      <c r="G562" s="336">
        <f>SUM(G513:G560)</f>
        <v>1911919</v>
      </c>
      <c r="H562" s="338">
        <f>SUM(H513:H561)</f>
        <v>5694542.3631999996</v>
      </c>
      <c r="I562" s="336"/>
      <c r="J562" s="339">
        <f>SUM(J513:J560)</f>
        <v>570287</v>
      </c>
      <c r="K562" s="336">
        <f>SUM(K513:K561)</f>
        <v>3392454</v>
      </c>
      <c r="L562" s="340">
        <f>SUM(L512:L561)</f>
        <v>1731803</v>
      </c>
    </row>
    <row r="563" spans="1:12" ht="15.75" x14ac:dyDescent="0.25">
      <c r="B563" s="318"/>
      <c r="C563" s="271"/>
      <c r="D563" s="271"/>
      <c r="E563" s="274"/>
      <c r="J563" s="265"/>
      <c r="K563" s="265"/>
      <c r="L563" s="347"/>
    </row>
    <row r="564" spans="1:12" ht="15.75" x14ac:dyDescent="0.25">
      <c r="C564" s="272"/>
      <c r="D564" s="272"/>
      <c r="E564" s="274"/>
      <c r="L564" s="347"/>
    </row>
    <row r="566" spans="1:12" x14ac:dyDescent="0.2">
      <c r="A566" s="262"/>
      <c r="B566" s="263"/>
    </row>
    <row r="567" spans="1:12" ht="15.75" x14ac:dyDescent="0.25">
      <c r="A567" s="266" t="s">
        <v>24</v>
      </c>
      <c r="B567" s="267"/>
      <c r="C567" s="320" t="s">
        <v>91</v>
      </c>
    </row>
    <row r="568" spans="1:12" ht="15.75" x14ac:dyDescent="0.25">
      <c r="A568" s="266" t="s">
        <v>106</v>
      </c>
      <c r="B568" s="263"/>
    </row>
    <row r="569" spans="1:12" x14ac:dyDescent="0.2">
      <c r="B569" s="263"/>
      <c r="C569" s="268"/>
      <c r="D569" s="268"/>
    </row>
    <row r="570" spans="1:12" x14ac:dyDescent="0.2">
      <c r="B570" s="263"/>
      <c r="C570" s="269"/>
      <c r="D570" s="269"/>
    </row>
    <row r="571" spans="1:12" ht="15.75" x14ac:dyDescent="0.25">
      <c r="A571" s="264" t="s">
        <v>27</v>
      </c>
      <c r="B571" s="263"/>
      <c r="C571" s="270">
        <v>862</v>
      </c>
      <c r="D571" s="270" t="s">
        <v>79</v>
      </c>
      <c r="E571" s="271"/>
    </row>
    <row r="572" spans="1:12" ht="15.75" x14ac:dyDescent="0.25">
      <c r="A572" s="264" t="s">
        <v>28</v>
      </c>
      <c r="B572" s="263"/>
      <c r="C572" s="270">
        <f>SUM(C571*0.06)</f>
        <v>51.72</v>
      </c>
      <c r="D572" s="268"/>
      <c r="E572" s="271"/>
    </row>
    <row r="573" spans="1:12" ht="15.75" x14ac:dyDescent="0.25">
      <c r="A573" s="264" t="s">
        <v>29</v>
      </c>
      <c r="B573" s="263"/>
      <c r="C573" s="270">
        <v>57.466666666666669</v>
      </c>
      <c r="D573" s="270"/>
      <c r="E573" s="271"/>
    </row>
    <row r="574" spans="1:12" ht="15.75" x14ac:dyDescent="0.25">
      <c r="B574" s="263" t="s">
        <v>30</v>
      </c>
      <c r="C574" s="270">
        <v>1</v>
      </c>
      <c r="D574" s="268"/>
      <c r="E574" s="271"/>
    </row>
    <row r="575" spans="1:12" x14ac:dyDescent="0.2">
      <c r="B575" s="263"/>
    </row>
    <row r="576" spans="1:12" x14ac:dyDescent="0.2">
      <c r="A576" s="271" t="s">
        <v>107</v>
      </c>
      <c r="B576" s="272"/>
      <c r="D576" s="273"/>
      <c r="F576" s="273">
        <v>63555</v>
      </c>
      <c r="I576" s="265"/>
    </row>
    <row r="577" spans="1:12" x14ac:dyDescent="0.2">
      <c r="A577" s="271" t="s">
        <v>108</v>
      </c>
      <c r="B577" s="272"/>
      <c r="D577" s="273"/>
      <c r="F577" s="273">
        <v>69911</v>
      </c>
      <c r="I577" s="265"/>
    </row>
    <row r="578" spans="1:12" x14ac:dyDescent="0.2">
      <c r="A578" s="271" t="s">
        <v>109</v>
      </c>
      <c r="B578" s="272"/>
      <c r="D578" s="273"/>
      <c r="F578" s="273">
        <v>42470</v>
      </c>
      <c r="I578" s="265"/>
    </row>
    <row r="579" spans="1:12" x14ac:dyDescent="0.2">
      <c r="A579" s="271"/>
      <c r="B579" s="272"/>
      <c r="C579" s="274"/>
      <c r="D579" s="274"/>
      <c r="I579" s="265"/>
    </row>
    <row r="580" spans="1:12" ht="15.75" x14ac:dyDescent="0.25">
      <c r="B580" s="263"/>
      <c r="J580" s="275" t="s">
        <v>34</v>
      </c>
      <c r="K580" s="419" t="s">
        <v>35</v>
      </c>
      <c r="L580" s="420"/>
    </row>
    <row r="581" spans="1:12" ht="15.75" x14ac:dyDescent="0.25">
      <c r="A581" s="266" t="s">
        <v>36</v>
      </c>
      <c r="B581" s="276"/>
      <c r="C581" s="277" t="s">
        <v>80</v>
      </c>
      <c r="D581" s="278"/>
      <c r="E581" s="275" t="s">
        <v>38</v>
      </c>
      <c r="F581" s="275" t="s">
        <v>39</v>
      </c>
      <c r="G581" s="275" t="s">
        <v>40</v>
      </c>
      <c r="H581" s="279" t="s">
        <v>0</v>
      </c>
      <c r="I581" s="280"/>
      <c r="J581" s="277" t="s">
        <v>41</v>
      </c>
      <c r="K581" s="281" t="s">
        <v>42</v>
      </c>
      <c r="L581" s="275" t="s">
        <v>43</v>
      </c>
    </row>
    <row r="582" spans="1:12" ht="15.75" x14ac:dyDescent="0.25">
      <c r="A582" s="282"/>
      <c r="B582" s="276"/>
      <c r="C582" s="283"/>
      <c r="D582" s="278"/>
      <c r="E582" s="284"/>
      <c r="F582" s="285"/>
      <c r="G582" s="285"/>
      <c r="H582" s="286"/>
      <c r="I582" s="280"/>
      <c r="J582" s="287"/>
      <c r="K582" s="288"/>
      <c r="L582" s="289"/>
    </row>
    <row r="583" spans="1:12" x14ac:dyDescent="0.2">
      <c r="A583" s="264">
        <v>1</v>
      </c>
      <c r="B583" s="263" t="s">
        <v>44</v>
      </c>
      <c r="C583" s="290">
        <v>50000</v>
      </c>
      <c r="D583" s="265"/>
      <c r="E583" s="291"/>
      <c r="F583" s="292"/>
      <c r="G583" s="292">
        <f>+C583</f>
        <v>50000</v>
      </c>
      <c r="H583" s="293">
        <f>SUM(F583+G583)</f>
        <v>50000</v>
      </c>
      <c r="I583" s="265"/>
      <c r="J583" s="294">
        <f>+H583</f>
        <v>50000</v>
      </c>
      <c r="K583" s="292"/>
      <c r="L583" s="293"/>
    </row>
    <row r="584" spans="1:12" x14ac:dyDescent="0.2">
      <c r="B584" s="263"/>
      <c r="C584" s="290"/>
      <c r="D584" s="265"/>
      <c r="E584" s="291"/>
      <c r="F584" s="292"/>
      <c r="G584" s="292"/>
      <c r="H584" s="293"/>
      <c r="I584" s="265"/>
      <c r="J584" s="294"/>
      <c r="K584" s="292"/>
      <c r="L584" s="293"/>
    </row>
    <row r="585" spans="1:12" x14ac:dyDescent="0.2">
      <c r="A585" s="264">
        <v>2</v>
      </c>
      <c r="B585" s="263" t="s">
        <v>45</v>
      </c>
      <c r="C585" s="290">
        <v>89606</v>
      </c>
      <c r="D585" s="265"/>
      <c r="E585" s="291">
        <v>1</v>
      </c>
      <c r="F585" s="292">
        <f>+C585*E585</f>
        <v>89606</v>
      </c>
      <c r="G585" s="292"/>
      <c r="H585" s="293">
        <f>SUM(F585+G585)</f>
        <v>89606</v>
      </c>
      <c r="I585" s="265"/>
      <c r="J585" s="294">
        <f>+H585</f>
        <v>89606</v>
      </c>
      <c r="K585" s="292"/>
      <c r="L585" s="293"/>
    </row>
    <row r="586" spans="1:12" x14ac:dyDescent="0.2">
      <c r="B586" s="263"/>
      <c r="C586" s="290"/>
      <c r="D586" s="265"/>
      <c r="E586" s="291"/>
      <c r="F586" s="292"/>
      <c r="G586" s="292"/>
      <c r="H586" s="293"/>
      <c r="I586" s="265"/>
      <c r="J586" s="294"/>
      <c r="K586" s="292"/>
      <c r="L586" s="293"/>
    </row>
    <row r="587" spans="1:12" x14ac:dyDescent="0.2">
      <c r="A587" s="264">
        <v>3</v>
      </c>
      <c r="B587" s="301" t="s">
        <v>176</v>
      </c>
      <c r="C587" s="290">
        <v>69911</v>
      </c>
      <c r="D587" s="265"/>
      <c r="E587" s="291">
        <v>1</v>
      </c>
      <c r="F587" s="292">
        <f>+C587*E587</f>
        <v>69911</v>
      </c>
      <c r="G587" s="292"/>
      <c r="H587" s="293">
        <f>SUM(F587+G587)</f>
        <v>69911</v>
      </c>
      <c r="I587" s="265"/>
      <c r="J587" s="294"/>
      <c r="K587" s="292"/>
      <c r="L587" s="293">
        <f>$H$92</f>
        <v>69911</v>
      </c>
    </row>
    <row r="588" spans="1:12" x14ac:dyDescent="0.2">
      <c r="B588" s="263"/>
      <c r="C588" s="290"/>
      <c r="D588" s="265"/>
      <c r="E588" s="291"/>
      <c r="F588" s="292"/>
      <c r="G588" s="292"/>
      <c r="H588" s="293"/>
      <c r="I588" s="265"/>
      <c r="J588" s="294"/>
      <c r="K588" s="292"/>
      <c r="L588" s="293"/>
    </row>
    <row r="589" spans="1:12" x14ac:dyDescent="0.2">
      <c r="A589" s="264">
        <v>4</v>
      </c>
      <c r="B589" s="263" t="s">
        <v>46</v>
      </c>
      <c r="C589" s="290">
        <v>45865</v>
      </c>
      <c r="D589" s="265"/>
      <c r="E589" s="291">
        <v>1</v>
      </c>
      <c r="F589" s="292">
        <f>+C589*E589</f>
        <v>45865</v>
      </c>
      <c r="G589" s="292"/>
      <c r="H589" s="293">
        <f>SUM(F589+G589)</f>
        <v>45865</v>
      </c>
      <c r="I589" s="265"/>
      <c r="J589" s="294">
        <f>+H589</f>
        <v>45865</v>
      </c>
      <c r="K589" s="292"/>
      <c r="L589" s="293"/>
    </row>
    <row r="590" spans="1:12" x14ac:dyDescent="0.2">
      <c r="B590" s="263"/>
      <c r="C590" s="290"/>
      <c r="D590" s="265"/>
      <c r="E590" s="291"/>
      <c r="F590" s="292"/>
      <c r="G590" s="292"/>
      <c r="H590" s="293"/>
      <c r="I590" s="265"/>
      <c r="J590" s="294"/>
      <c r="K590" s="292"/>
      <c r="L590" s="293"/>
    </row>
    <row r="591" spans="1:12" x14ac:dyDescent="0.2">
      <c r="A591" s="264">
        <v>5</v>
      </c>
      <c r="B591" s="263" t="s">
        <v>47</v>
      </c>
      <c r="C591" s="290">
        <v>42470</v>
      </c>
      <c r="D591" s="265"/>
      <c r="E591" s="291">
        <v>1</v>
      </c>
      <c r="F591" s="292">
        <f>+C591*E591</f>
        <v>42470</v>
      </c>
      <c r="G591" s="292"/>
      <c r="H591" s="293">
        <f>SUM(F591+G591)</f>
        <v>42470</v>
      </c>
      <c r="I591" s="265"/>
      <c r="J591" s="294">
        <f>+H591</f>
        <v>42470</v>
      </c>
      <c r="K591" s="292"/>
      <c r="L591" s="293"/>
    </row>
    <row r="592" spans="1:12" x14ac:dyDescent="0.2">
      <c r="B592" s="263"/>
      <c r="C592" s="290"/>
      <c r="D592" s="265"/>
      <c r="E592" s="291"/>
      <c r="F592" s="292"/>
      <c r="G592" s="292"/>
      <c r="H592" s="293"/>
      <c r="I592" s="265"/>
      <c r="J592" s="294"/>
      <c r="K592" s="292"/>
      <c r="L592" s="293"/>
    </row>
    <row r="593" spans="1:12" x14ac:dyDescent="0.2">
      <c r="A593" s="264">
        <v>6</v>
      </c>
      <c r="B593" s="263" t="s">
        <v>113</v>
      </c>
      <c r="C593" s="290">
        <v>57775</v>
      </c>
      <c r="D593" s="265"/>
      <c r="E593" s="291">
        <v>1</v>
      </c>
      <c r="F593" s="292">
        <f>+C593*E593</f>
        <v>57775</v>
      </c>
      <c r="G593" s="292"/>
      <c r="H593" s="293">
        <f>SUM(F593+G593)</f>
        <v>57775</v>
      </c>
      <c r="I593" s="265"/>
      <c r="J593" s="294">
        <f>+H593</f>
        <v>57775</v>
      </c>
      <c r="K593" s="292"/>
      <c r="L593" s="293"/>
    </row>
    <row r="594" spans="1:12" x14ac:dyDescent="0.2">
      <c r="B594" s="263"/>
      <c r="C594" s="290"/>
      <c r="D594" s="265"/>
      <c r="E594" s="291"/>
      <c r="F594" s="292"/>
      <c r="G594" s="292"/>
      <c r="H594" s="293"/>
      <c r="I594" s="265"/>
      <c r="J594" s="294"/>
      <c r="K594" s="292"/>
      <c r="L594" s="293"/>
    </row>
    <row r="595" spans="1:12" x14ac:dyDescent="0.2">
      <c r="A595" s="264">
        <v>7</v>
      </c>
      <c r="B595" s="263" t="s">
        <v>151</v>
      </c>
      <c r="C595" s="273">
        <v>42470</v>
      </c>
      <c r="D595" s="265"/>
      <c r="E595" s="322">
        <v>0</v>
      </c>
      <c r="F595" s="292">
        <f>SUM(E595*C595)</f>
        <v>0</v>
      </c>
      <c r="G595" s="292"/>
      <c r="H595" s="293">
        <f>SUM(F595+G595)</f>
        <v>0</v>
      </c>
      <c r="I595" s="265"/>
      <c r="J595" s="293">
        <f>SUM(H595+I595)</f>
        <v>0</v>
      </c>
      <c r="K595" s="296"/>
      <c r="L595" s="297"/>
    </row>
    <row r="596" spans="1:12" x14ac:dyDescent="0.2">
      <c r="B596" s="263" t="s">
        <v>199</v>
      </c>
      <c r="C596" s="273"/>
      <c r="D596" s="265"/>
      <c r="E596" s="322"/>
      <c r="F596" s="292"/>
      <c r="G596" s="292">
        <v>10200</v>
      </c>
      <c r="H596" s="293">
        <v>10200</v>
      </c>
      <c r="I596" s="265"/>
      <c r="J596" s="292">
        <v>10200</v>
      </c>
      <c r="K596" s="292"/>
      <c r="L596" s="293"/>
    </row>
    <row r="597" spans="1:12" x14ac:dyDescent="0.2">
      <c r="A597" s="264">
        <v>8</v>
      </c>
      <c r="B597" s="263" t="s">
        <v>50</v>
      </c>
      <c r="C597" s="290">
        <v>15000</v>
      </c>
      <c r="D597" s="265"/>
      <c r="E597" s="291"/>
      <c r="F597" s="292"/>
      <c r="G597" s="292">
        <f>+C597</f>
        <v>15000</v>
      </c>
      <c r="H597" s="293">
        <f>SUM(F597+G597)</f>
        <v>15000</v>
      </c>
      <c r="I597" s="265"/>
      <c r="J597" s="323">
        <f>+H597</f>
        <v>15000</v>
      </c>
      <c r="K597" s="292"/>
      <c r="L597" s="293"/>
    </row>
    <row r="598" spans="1:12" x14ac:dyDescent="0.2">
      <c r="B598" s="263"/>
      <c r="C598" s="290"/>
      <c r="D598" s="265"/>
      <c r="E598" s="291"/>
      <c r="F598" s="292"/>
      <c r="G598" s="292"/>
      <c r="H598" s="293"/>
      <c r="I598" s="265"/>
      <c r="J598" s="323"/>
      <c r="K598" s="292"/>
      <c r="L598" s="293"/>
    </row>
    <row r="599" spans="1:12" x14ac:dyDescent="0.2">
      <c r="A599" s="264">
        <v>9</v>
      </c>
      <c r="B599" s="263" t="s">
        <v>51</v>
      </c>
      <c r="C599" s="290">
        <v>30000</v>
      </c>
      <c r="D599" s="265"/>
      <c r="E599" s="291"/>
      <c r="F599" s="292"/>
      <c r="G599" s="292">
        <f>+C599</f>
        <v>30000</v>
      </c>
      <c r="H599" s="293">
        <f>SUM(F599+G599)</f>
        <v>30000</v>
      </c>
      <c r="I599" s="265"/>
      <c r="J599" s="323">
        <f>+H599</f>
        <v>30000</v>
      </c>
      <c r="K599" s="292"/>
      <c r="L599" s="293"/>
    </row>
    <row r="600" spans="1:12" x14ac:dyDescent="0.2">
      <c r="B600" s="263"/>
      <c r="C600" s="290"/>
      <c r="D600" s="265"/>
      <c r="E600" s="291"/>
      <c r="F600" s="292"/>
      <c r="G600" s="292"/>
      <c r="H600" s="293"/>
      <c r="I600" s="265"/>
      <c r="J600" s="323"/>
      <c r="K600" s="292"/>
      <c r="L600" s="293"/>
    </row>
    <row r="601" spans="1:12" x14ac:dyDescent="0.2">
      <c r="A601" s="264">
        <v>10</v>
      </c>
      <c r="B601" s="263" t="s">
        <v>52</v>
      </c>
      <c r="C601" s="290">
        <v>40000</v>
      </c>
      <c r="D601" s="265"/>
      <c r="E601" s="291"/>
      <c r="F601" s="292"/>
      <c r="G601" s="292">
        <f>+C601</f>
        <v>40000</v>
      </c>
      <c r="H601" s="293">
        <f>SUM(F601+G601)</f>
        <v>40000</v>
      </c>
      <c r="I601" s="265"/>
      <c r="J601" s="323">
        <f>+H601</f>
        <v>40000</v>
      </c>
      <c r="K601" s="292"/>
      <c r="L601" s="293"/>
    </row>
    <row r="602" spans="1:12" x14ac:dyDescent="0.2">
      <c r="B602" s="263"/>
      <c r="C602" s="290"/>
      <c r="D602" s="265"/>
      <c r="E602" s="291"/>
      <c r="F602" s="292"/>
      <c r="G602" s="292"/>
      <c r="H602" s="293"/>
      <c r="I602" s="265"/>
      <c r="J602" s="294"/>
      <c r="K602" s="292"/>
      <c r="L602" s="293"/>
    </row>
    <row r="603" spans="1:12" x14ac:dyDescent="0.2">
      <c r="A603" s="264">
        <v>11</v>
      </c>
      <c r="B603" s="263" t="s">
        <v>53</v>
      </c>
      <c r="C603" s="290"/>
      <c r="D603" s="265"/>
      <c r="E603" s="291"/>
      <c r="F603" s="292"/>
      <c r="G603" s="292">
        <f>ROUND((F585+F587+F589+F591+F593+F605+F609+F611+F616+F618+F620+F622+F595+F624+F613)*0.15,0)</f>
        <v>226200</v>
      </c>
      <c r="H603" s="293">
        <f>SUM(G603)</f>
        <v>226200</v>
      </c>
      <c r="I603" s="265"/>
      <c r="J603" s="323">
        <f>ROUND((SUM(F585:F595)*0.15),0)</f>
        <v>45844</v>
      </c>
      <c r="K603" s="324">
        <f>ROUND(SUM(F605:F620,F622)*0.15,0)</f>
        <v>151756</v>
      </c>
      <c r="L603" s="325">
        <f>ROUND(F624*0.15,0)</f>
        <v>28600</v>
      </c>
    </row>
    <row r="604" spans="1:12" x14ac:dyDescent="0.2">
      <c r="B604" s="263"/>
      <c r="C604" s="290"/>
      <c r="D604" s="265"/>
      <c r="E604" s="291"/>
      <c r="F604" s="292"/>
      <c r="G604" s="292"/>
      <c r="H604" s="293"/>
      <c r="I604" s="265"/>
      <c r="J604" s="294"/>
      <c r="K604" s="296"/>
      <c r="L604" s="297"/>
    </row>
    <row r="605" spans="1:12" x14ac:dyDescent="0.2">
      <c r="A605" s="264">
        <v>12</v>
      </c>
      <c r="B605" s="263" t="s">
        <v>54</v>
      </c>
      <c r="C605" s="290"/>
      <c r="D605" s="265"/>
      <c r="E605" s="291"/>
      <c r="F605" s="292">
        <f>(F585+F587+F589+F591+F609+F593+F611++F616+F618+F620+F624+F595+F622+F613)*0.2045</f>
        <v>256027.90589999998</v>
      </c>
      <c r="G605" s="292"/>
      <c r="H605" s="293">
        <f>(F585+F587+F589+F591+F593+F609+F611+F616+F618+F620+F624+F595+F622+F613)*0.2045</f>
        <v>256027.90589999998</v>
      </c>
      <c r="I605" s="265"/>
      <c r="J605" s="323">
        <f>ROUND((SUM(F585:F595)*0.2045),0)</f>
        <v>62501</v>
      </c>
      <c r="K605" s="324">
        <f>ROUND((SUM(F609:F622)*0.2045),0)</f>
        <v>154536</v>
      </c>
      <c r="L605" s="325">
        <f>ROUND(F624*0.2045,0)</f>
        <v>38991</v>
      </c>
    </row>
    <row r="606" spans="1:12" x14ac:dyDescent="0.2">
      <c r="B606" s="263"/>
      <c r="C606" s="290"/>
      <c r="D606" s="265"/>
      <c r="E606" s="291"/>
      <c r="F606" s="292"/>
      <c r="G606" s="292"/>
      <c r="H606" s="293"/>
      <c r="I606" s="265"/>
      <c r="J606" s="294"/>
      <c r="K606" s="296"/>
      <c r="L606" s="297"/>
    </row>
    <row r="607" spans="1:12" x14ac:dyDescent="0.2">
      <c r="A607" s="264">
        <v>13</v>
      </c>
      <c r="B607" s="263" t="s">
        <v>55</v>
      </c>
      <c r="C607" s="290">
        <v>2000</v>
      </c>
      <c r="D607" s="265"/>
      <c r="E607" s="291"/>
      <c r="F607" s="292"/>
      <c r="G607" s="292">
        <f>E632*2000</f>
        <v>38000</v>
      </c>
      <c r="H607" s="293">
        <f t="shared" ref="H607" si="68">SUM(F607+G607)</f>
        <v>38000</v>
      </c>
      <c r="I607" s="265"/>
      <c r="J607" s="294">
        <f>(E585+E587+E589+E591+E593+E595)*2000</f>
        <v>10000</v>
      </c>
      <c r="K607" s="296">
        <f>ROUND(SUM(E611,E616,E618,E620,E622,E613)*2000,0)</f>
        <v>22000</v>
      </c>
      <c r="L607" s="297">
        <f>ROUND(E624*2000,0)</f>
        <v>6000</v>
      </c>
    </row>
    <row r="608" spans="1:12" x14ac:dyDescent="0.2">
      <c r="B608" s="263"/>
      <c r="C608" s="290"/>
      <c r="D608" s="265"/>
      <c r="E608" s="291"/>
      <c r="F608" s="292"/>
      <c r="G608" s="292"/>
      <c r="H608" s="293"/>
      <c r="I608" s="265"/>
      <c r="J608" s="294"/>
      <c r="K608" s="296"/>
      <c r="L608" s="297"/>
    </row>
    <row r="609" spans="1:12" ht="36.75" customHeight="1" x14ac:dyDescent="0.2">
      <c r="A609" s="264">
        <v>14</v>
      </c>
      <c r="B609" s="263" t="s">
        <v>114</v>
      </c>
      <c r="C609" s="290"/>
      <c r="D609" s="265"/>
      <c r="E609" s="291"/>
      <c r="F609" s="292">
        <f>(F616+F620+F622+F611+F613+F624+F618)*0.1</f>
        <v>86031.200000000012</v>
      </c>
      <c r="G609" s="292"/>
      <c r="H609" s="293">
        <f>SUM(F609+G609)</f>
        <v>86031.200000000012</v>
      </c>
      <c r="I609" s="265"/>
      <c r="J609" s="294"/>
      <c r="K609" s="296">
        <f>ROUND((+F611+F616+F620+F622+F613+F618)*0.1,0)</f>
        <v>66965</v>
      </c>
      <c r="L609" s="297">
        <f>ROUND(F624*0.1,0)</f>
        <v>19067</v>
      </c>
    </row>
    <row r="610" spans="1:12" x14ac:dyDescent="0.2">
      <c r="B610" s="263"/>
      <c r="C610" s="290"/>
      <c r="D610" s="265"/>
      <c r="E610" s="291"/>
      <c r="F610" s="292"/>
      <c r="G610" s="292"/>
      <c r="H610" s="293"/>
      <c r="I610" s="265"/>
      <c r="J610" s="294"/>
      <c r="K610" s="292"/>
      <c r="L610" s="293"/>
    </row>
    <row r="611" spans="1:12" x14ac:dyDescent="0.2">
      <c r="A611" s="264">
        <v>15</v>
      </c>
      <c r="B611" s="263" t="s">
        <v>57</v>
      </c>
      <c r="C611" s="290">
        <v>69911</v>
      </c>
      <c r="D611" s="265"/>
      <c r="E611" s="326">
        <f>ROUND((E624+E620+E618+E616+E622+E613)/6,0)</f>
        <v>2</v>
      </c>
      <c r="F611" s="292">
        <f>F577*E611</f>
        <v>139822</v>
      </c>
      <c r="G611" s="292"/>
      <c r="H611" s="293">
        <f t="shared" ref="H611" si="69">SUM(F611+G611)</f>
        <v>139822</v>
      </c>
      <c r="I611" s="265"/>
      <c r="J611" s="291"/>
      <c r="K611" s="296">
        <f>ROUND(F611*((+E$49+E$51+E$53)/(E$49+E$51+E$53+E$55)),0)</f>
        <v>88077</v>
      </c>
      <c r="L611" s="297">
        <f>ROUND((+F611*(E$55/(+E$49+E$51+E$53+E$55))),0)</f>
        <v>51745</v>
      </c>
    </row>
    <row r="612" spans="1:12" x14ac:dyDescent="0.2">
      <c r="B612" s="263"/>
      <c r="C612" s="290"/>
      <c r="D612" s="265"/>
      <c r="E612" s="291"/>
      <c r="F612" s="292"/>
      <c r="G612" s="292"/>
      <c r="H612" s="293"/>
      <c r="I612" s="265"/>
      <c r="J612" s="294"/>
      <c r="K612" s="292"/>
      <c r="L612" s="293"/>
    </row>
    <row r="613" spans="1:12" x14ac:dyDescent="0.2">
      <c r="A613" s="301">
        <v>16</v>
      </c>
      <c r="B613" s="301" t="s">
        <v>160</v>
      </c>
      <c r="C613" s="290">
        <v>42470</v>
      </c>
      <c r="D613" s="265"/>
      <c r="E613" s="326">
        <f>ROUNDUP((E624+E620+E618+E616+E622)/6,0)</f>
        <v>2</v>
      </c>
      <c r="F613" s="327">
        <f>F578*E613</f>
        <v>84940</v>
      </c>
      <c r="H613" s="293">
        <f t="shared" ref="H613" si="70">SUM(F613+G613)</f>
        <v>84940</v>
      </c>
      <c r="I613" s="265"/>
      <c r="J613" s="294"/>
      <c r="K613" s="296">
        <f>ROUND(F613*((+E$49+E$51+E$53)/(E$49+E$51+E$53+E$55)),0)</f>
        <v>53506</v>
      </c>
      <c r="L613" s="297">
        <f>ROUND((+F613*(E$55/(+E$49+E$51+E$53+E$55))),0)</f>
        <v>31434</v>
      </c>
    </row>
    <row r="614" spans="1:12" x14ac:dyDescent="0.2">
      <c r="B614" s="263"/>
      <c r="C614" s="290"/>
      <c r="D614" s="265"/>
      <c r="E614" s="291"/>
      <c r="F614" s="292"/>
      <c r="G614" s="292"/>
      <c r="H614" s="293"/>
      <c r="I614" s="265"/>
      <c r="J614" s="294"/>
      <c r="K614" s="292"/>
      <c r="L614" s="293"/>
    </row>
    <row r="615" spans="1:12" ht="15.75" x14ac:dyDescent="0.25">
      <c r="A615" s="282" t="s">
        <v>115</v>
      </c>
      <c r="B615" s="263"/>
      <c r="C615" s="290"/>
      <c r="D615" s="265"/>
      <c r="E615" s="291"/>
      <c r="F615" s="292"/>
      <c r="G615" s="292"/>
      <c r="H615" s="293"/>
      <c r="I615" s="265"/>
      <c r="J615" s="294"/>
      <c r="K615" s="292"/>
      <c r="L615" s="293"/>
    </row>
    <row r="616" spans="1:12" x14ac:dyDescent="0.2">
      <c r="A616" s="300">
        <v>17</v>
      </c>
      <c r="B616" s="301" t="s">
        <v>60</v>
      </c>
      <c r="C616" s="302">
        <v>63555</v>
      </c>
      <c r="D616" s="303"/>
      <c r="E616" s="304">
        <f>ROUND(C572/30,0)</f>
        <v>2</v>
      </c>
      <c r="F616" s="305">
        <f>F576*E616</f>
        <v>127110</v>
      </c>
      <c r="G616" s="305"/>
      <c r="H616" s="293">
        <f t="shared" ref="H616" si="71">SUM(F616+G616)</f>
        <v>127110</v>
      </c>
      <c r="I616" s="303"/>
      <c r="J616" s="306"/>
      <c r="K616" s="292">
        <f>SUM(E616*F576)</f>
        <v>127110</v>
      </c>
      <c r="L616" s="293"/>
    </row>
    <row r="617" spans="1:12" x14ac:dyDescent="0.2">
      <c r="A617" s="301"/>
      <c r="B617" s="301"/>
      <c r="C617" s="290"/>
      <c r="D617" s="265"/>
      <c r="E617" s="291"/>
      <c r="F617" s="292"/>
      <c r="G617" s="292"/>
      <c r="H617" s="293"/>
      <c r="I617" s="265"/>
      <c r="J617" s="294"/>
      <c r="K617" s="292"/>
      <c r="L617" s="293"/>
    </row>
    <row r="618" spans="1:12" ht="30" x14ac:dyDescent="0.2">
      <c r="A618" s="300">
        <v>18</v>
      </c>
      <c r="B618" s="301" t="s">
        <v>61</v>
      </c>
      <c r="C618" s="290">
        <v>63555</v>
      </c>
      <c r="D618" s="265"/>
      <c r="E618" s="291">
        <f>1</f>
        <v>1</v>
      </c>
      <c r="F618" s="292">
        <f>F576*E618</f>
        <v>63555</v>
      </c>
      <c r="G618" s="292"/>
      <c r="H618" s="293">
        <f t="shared" ref="H618" si="72">SUM(F618+G618)</f>
        <v>63555</v>
      </c>
      <c r="I618" s="265"/>
      <c r="J618" s="294" t="s">
        <v>62</v>
      </c>
      <c r="K618" s="292">
        <f>SUM(E618*F576)</f>
        <v>63555</v>
      </c>
      <c r="L618" s="293"/>
    </row>
    <row r="619" spans="1:12" x14ac:dyDescent="0.2">
      <c r="A619" s="301"/>
      <c r="B619" s="301"/>
      <c r="C619" s="290"/>
      <c r="D619" s="265"/>
      <c r="E619" s="291"/>
      <c r="F619" s="292"/>
      <c r="G619" s="292"/>
      <c r="H619" s="293"/>
      <c r="I619" s="265"/>
      <c r="J619" s="294"/>
      <c r="K619" s="292"/>
      <c r="L619" s="293"/>
    </row>
    <row r="620" spans="1:12" x14ac:dyDescent="0.2">
      <c r="A620" s="301">
        <v>19</v>
      </c>
      <c r="B620" s="301" t="s">
        <v>63</v>
      </c>
      <c r="C620" s="290">
        <v>63555</v>
      </c>
      <c r="D620" s="265"/>
      <c r="E620" s="291">
        <f>ROUND(C572/20,0)</f>
        <v>3</v>
      </c>
      <c r="F620" s="292">
        <f>F576*E620</f>
        <v>190665</v>
      </c>
      <c r="G620" s="292"/>
      <c r="H620" s="293">
        <f t="shared" ref="H620" si="73">SUM(F620+G620)</f>
        <v>190665</v>
      </c>
      <c r="I620" s="265"/>
      <c r="J620" s="294"/>
      <c r="K620" s="292">
        <f>SUM(E620*F576)</f>
        <v>190665</v>
      </c>
      <c r="L620" s="293"/>
    </row>
    <row r="621" spans="1:12" x14ac:dyDescent="0.2">
      <c r="A621" s="301"/>
      <c r="B621" s="301"/>
      <c r="C621" s="290"/>
      <c r="D621" s="265"/>
      <c r="E621" s="291"/>
      <c r="F621" s="292"/>
      <c r="G621" s="292"/>
      <c r="H621" s="293"/>
      <c r="I621" s="265"/>
      <c r="J621" s="294"/>
      <c r="K621" s="292"/>
      <c r="L621" s="293"/>
    </row>
    <row r="622" spans="1:12" x14ac:dyDescent="0.2">
      <c r="A622" s="301">
        <v>20</v>
      </c>
      <c r="B622" s="301" t="s">
        <v>111</v>
      </c>
      <c r="C622" s="290">
        <v>63555</v>
      </c>
      <c r="D622" s="265"/>
      <c r="E622" s="328">
        <f>ROUNDDOWN(C573/40,0)</f>
        <v>1</v>
      </c>
      <c r="F622" s="292">
        <f>F576*E622</f>
        <v>63555</v>
      </c>
      <c r="G622" s="292"/>
      <c r="H622" s="293">
        <f t="shared" ref="H622" si="74">SUM(F622+G622)</f>
        <v>63555</v>
      </c>
      <c r="I622" s="290"/>
      <c r="K622" s="265">
        <f>SUM(E622*F576)</f>
        <v>63555</v>
      </c>
      <c r="L622" s="329"/>
    </row>
    <row r="623" spans="1:12" x14ac:dyDescent="0.2">
      <c r="A623" s="301"/>
      <c r="B623" s="301"/>
      <c r="C623" s="290"/>
      <c r="D623" s="265"/>
      <c r="E623" s="291"/>
      <c r="F623" s="292"/>
      <c r="G623" s="292"/>
      <c r="H623" s="293"/>
      <c r="I623" s="290"/>
      <c r="L623" s="329"/>
    </row>
    <row r="624" spans="1:12" x14ac:dyDescent="0.2">
      <c r="A624" s="301">
        <v>21</v>
      </c>
      <c r="B624" s="301" t="s">
        <v>112</v>
      </c>
      <c r="C624" s="290">
        <v>63555</v>
      </c>
      <c r="D624" s="265"/>
      <c r="E624" s="328">
        <f>ROUND(C573/20,0)</f>
        <v>3</v>
      </c>
      <c r="F624" s="292">
        <f>SUM(E624*F576)</f>
        <v>190665</v>
      </c>
      <c r="H624" s="293">
        <f t="shared" ref="H624" si="75">SUM(F624+G624)</f>
        <v>190665</v>
      </c>
      <c r="I624" s="290"/>
      <c r="K624" s="265"/>
      <c r="L624" s="293">
        <f>SUM(H624)</f>
        <v>190665</v>
      </c>
    </row>
    <row r="625" spans="1:12" x14ac:dyDescent="0.2">
      <c r="A625" s="301"/>
      <c r="B625" s="301"/>
      <c r="C625" s="290"/>
      <c r="D625" s="265"/>
      <c r="E625" s="291"/>
      <c r="F625" s="292"/>
      <c r="H625" s="293"/>
      <c r="I625" s="290"/>
      <c r="L625" s="329"/>
    </row>
    <row r="626" spans="1:12" x14ac:dyDescent="0.2">
      <c r="A626" s="301">
        <v>22</v>
      </c>
      <c r="B626" s="301" t="s">
        <v>155</v>
      </c>
      <c r="C626" s="295"/>
      <c r="D626" s="307"/>
      <c r="E626" s="291"/>
      <c r="F626" s="292"/>
      <c r="G626" s="292">
        <f>ROUND(175*C571,0)</f>
        <v>150850</v>
      </c>
      <c r="H626" s="293">
        <f t="shared" ref="H626" si="76">SUM(F626+G626)</f>
        <v>150850</v>
      </c>
      <c r="I626" s="265"/>
      <c r="J626" s="294" t="s">
        <v>62</v>
      </c>
      <c r="K626" s="292">
        <f>ROUND(175/2*C571,0)</f>
        <v>75425</v>
      </c>
      <c r="L626" s="293">
        <f>ROUND(175/2*C571,0)</f>
        <v>75425</v>
      </c>
    </row>
    <row r="627" spans="1:12" x14ac:dyDescent="0.2">
      <c r="A627" s="301"/>
      <c r="B627" s="301"/>
      <c r="C627" s="290"/>
      <c r="D627" s="265"/>
      <c r="E627" s="291"/>
      <c r="F627" s="292"/>
      <c r="G627" s="292"/>
      <c r="H627" s="293"/>
      <c r="I627" s="265"/>
      <c r="J627" s="294"/>
      <c r="K627" s="292"/>
      <c r="L627" s="293"/>
    </row>
    <row r="628" spans="1:12" x14ac:dyDescent="0.2">
      <c r="A628" s="301">
        <v>23</v>
      </c>
      <c r="B628" s="301" t="s">
        <v>66</v>
      </c>
      <c r="C628" s="290">
        <v>11500</v>
      </c>
      <c r="D628" s="265"/>
      <c r="E628" s="291"/>
      <c r="F628" s="292"/>
      <c r="G628" s="292">
        <f>(E585+E611+E622+E616+E618+E620+E624+E613)*11500</f>
        <v>172500</v>
      </c>
      <c r="H628" s="293">
        <f>SUM(F628:G628)</f>
        <v>172500</v>
      </c>
      <c r="I628" s="265"/>
      <c r="J628" s="323">
        <f>ROUND(11500*E585,0)</f>
        <v>11500</v>
      </c>
      <c r="K628" s="296">
        <f>(ROUND(11500*(+E620+E618+E616+E622+E611+E613),0))</f>
        <v>126500</v>
      </c>
      <c r="L628" s="297">
        <f>ROUND(11500*E624,0)</f>
        <v>34500</v>
      </c>
    </row>
    <row r="629" spans="1:12" x14ac:dyDescent="0.2">
      <c r="A629" s="301"/>
      <c r="B629" s="301"/>
      <c r="C629" s="290"/>
      <c r="D629" s="265"/>
      <c r="E629" s="291"/>
      <c r="G629" s="292"/>
      <c r="H629" s="293"/>
      <c r="J629" s="294"/>
      <c r="K629" s="296"/>
      <c r="L629" s="297"/>
    </row>
    <row r="630" spans="1:12" x14ac:dyDescent="0.2">
      <c r="A630" s="301">
        <v>24</v>
      </c>
      <c r="B630" s="301" t="s">
        <v>82</v>
      </c>
      <c r="C630" s="290"/>
      <c r="D630" s="265"/>
      <c r="E630" s="291"/>
      <c r="G630" s="292">
        <v>57500</v>
      </c>
      <c r="H630" s="293">
        <f t="shared" ref="H630" si="77">SUM(F630+G630)</f>
        <v>57500</v>
      </c>
      <c r="I630" s="330"/>
      <c r="J630" s="292"/>
      <c r="K630" s="296"/>
      <c r="L630" s="297">
        <f>+H630</f>
        <v>57500</v>
      </c>
    </row>
    <row r="631" spans="1:12" ht="15.75" thickBot="1" x14ac:dyDescent="0.25">
      <c r="B631" s="331"/>
      <c r="C631" s="332"/>
      <c r="D631" s="265"/>
      <c r="E631" s="291"/>
      <c r="H631" s="293"/>
      <c r="I631" s="333"/>
      <c r="J631" s="265"/>
      <c r="L631" s="293"/>
    </row>
    <row r="632" spans="1:12" ht="16.5" thickBot="1" x14ac:dyDescent="0.3">
      <c r="B632" s="334" t="s">
        <v>67</v>
      </c>
      <c r="C632" s="335"/>
      <c r="D632" s="336"/>
      <c r="E632" s="337">
        <f>SUM(E582:E631)</f>
        <v>19</v>
      </c>
      <c r="F632" s="336">
        <f>SUM(F582:F630)</f>
        <v>1507998.1059000001</v>
      </c>
      <c r="G632" s="336">
        <f>SUM(G583:G630)</f>
        <v>790250</v>
      </c>
      <c r="H632" s="338">
        <f>SUM(H583:H631)</f>
        <v>2298248.1058999998</v>
      </c>
      <c r="I632" s="336"/>
      <c r="J632" s="339">
        <f>SUM(J583:J630)</f>
        <v>510761</v>
      </c>
      <c r="K632" s="336">
        <f>SUM(K583:K631)</f>
        <v>1183650</v>
      </c>
      <c r="L632" s="340">
        <f>SUM(L582:L631)</f>
        <v>603838</v>
      </c>
    </row>
    <row r="633" spans="1:12" ht="15.75" x14ac:dyDescent="0.25">
      <c r="B633" s="272"/>
      <c r="C633" s="271"/>
      <c r="D633" s="271"/>
      <c r="E633" s="274"/>
      <c r="J633" s="265"/>
      <c r="K633" s="265"/>
      <c r="L633" s="347"/>
    </row>
    <row r="634" spans="1:12" ht="15.75" x14ac:dyDescent="0.25">
      <c r="B634" s="318"/>
      <c r="C634" s="271"/>
      <c r="D634" s="271"/>
      <c r="E634" s="274"/>
      <c r="J634" s="265"/>
      <c r="K634" s="265"/>
      <c r="L634" s="347"/>
    </row>
    <row r="635" spans="1:12" ht="15.75" x14ac:dyDescent="0.25">
      <c r="C635" s="272"/>
      <c r="D635" s="272"/>
      <c r="E635" s="274"/>
      <c r="L635" s="347"/>
    </row>
    <row r="637" spans="1:12" ht="15.75" x14ac:dyDescent="0.25">
      <c r="A637" s="266" t="s">
        <v>24</v>
      </c>
      <c r="B637" s="267"/>
      <c r="C637" s="320" t="s">
        <v>92</v>
      </c>
    </row>
    <row r="638" spans="1:12" ht="15.75" x14ac:dyDescent="0.25">
      <c r="A638" s="266" t="s">
        <v>106</v>
      </c>
      <c r="B638" s="263"/>
    </row>
    <row r="639" spans="1:12" x14ac:dyDescent="0.2">
      <c r="B639" s="263"/>
      <c r="C639" s="268"/>
      <c r="D639" s="268"/>
    </row>
    <row r="640" spans="1:12" x14ac:dyDescent="0.2">
      <c r="B640" s="263"/>
      <c r="C640" s="269"/>
      <c r="D640" s="269"/>
    </row>
    <row r="641" spans="1:12" ht="15.75" x14ac:dyDescent="0.25">
      <c r="A641" s="264" t="s">
        <v>27</v>
      </c>
      <c r="B641" s="263"/>
      <c r="C641" s="270">
        <v>1830</v>
      </c>
      <c r="D641" s="270" t="s">
        <v>79</v>
      </c>
      <c r="E641" s="271"/>
    </row>
    <row r="642" spans="1:12" ht="15.75" x14ac:dyDescent="0.25">
      <c r="A642" s="264" t="s">
        <v>28</v>
      </c>
      <c r="B642" s="263"/>
      <c r="C642" s="270">
        <f>SUM(C641*0.06)</f>
        <v>109.8</v>
      </c>
      <c r="D642" s="268"/>
      <c r="E642" s="271"/>
    </row>
    <row r="643" spans="1:12" ht="15.75" x14ac:dyDescent="0.25">
      <c r="A643" s="264" t="s">
        <v>29</v>
      </c>
      <c r="B643" s="263"/>
      <c r="C643" s="270">
        <v>122</v>
      </c>
      <c r="D643" s="270"/>
      <c r="E643" s="271"/>
    </row>
    <row r="644" spans="1:12" ht="15.75" x14ac:dyDescent="0.25">
      <c r="B644" s="263" t="s">
        <v>30</v>
      </c>
      <c r="C644" s="270">
        <v>1</v>
      </c>
      <c r="D644" s="268"/>
      <c r="E644" s="271"/>
    </row>
    <row r="645" spans="1:12" x14ac:dyDescent="0.2">
      <c r="B645" s="263"/>
    </row>
    <row r="646" spans="1:12" x14ac:dyDescent="0.2">
      <c r="A646" s="271" t="s">
        <v>107</v>
      </c>
      <c r="B646" s="272"/>
      <c r="D646" s="273"/>
      <c r="F646" s="273">
        <v>63555</v>
      </c>
      <c r="I646" s="265"/>
    </row>
    <row r="647" spans="1:12" x14ac:dyDescent="0.2">
      <c r="A647" s="271" t="s">
        <v>108</v>
      </c>
      <c r="B647" s="272"/>
      <c r="D647" s="273"/>
      <c r="F647" s="273">
        <v>69911</v>
      </c>
      <c r="I647" s="265"/>
    </row>
    <row r="648" spans="1:12" x14ac:dyDescent="0.2">
      <c r="A648" s="271" t="s">
        <v>109</v>
      </c>
      <c r="B648" s="272"/>
      <c r="D648" s="273"/>
      <c r="F648" s="273">
        <v>42470</v>
      </c>
      <c r="I648" s="265"/>
    </row>
    <row r="649" spans="1:12" x14ac:dyDescent="0.2">
      <c r="A649" s="271"/>
      <c r="B649" s="272"/>
      <c r="C649" s="274"/>
      <c r="D649" s="274"/>
      <c r="I649" s="265"/>
    </row>
    <row r="650" spans="1:12" ht="15.75" x14ac:dyDescent="0.25">
      <c r="B650" s="263"/>
      <c r="J650" s="275" t="s">
        <v>34</v>
      </c>
      <c r="K650" s="419" t="s">
        <v>35</v>
      </c>
      <c r="L650" s="420"/>
    </row>
    <row r="651" spans="1:12" ht="15.75" x14ac:dyDescent="0.25">
      <c r="A651" s="266" t="s">
        <v>36</v>
      </c>
      <c r="B651" s="276"/>
      <c r="C651" s="277" t="s">
        <v>80</v>
      </c>
      <c r="D651" s="278"/>
      <c r="E651" s="275" t="s">
        <v>38</v>
      </c>
      <c r="F651" s="275" t="s">
        <v>39</v>
      </c>
      <c r="G651" s="275" t="s">
        <v>40</v>
      </c>
      <c r="H651" s="279" t="s">
        <v>0</v>
      </c>
      <c r="I651" s="280"/>
      <c r="J651" s="277" t="s">
        <v>41</v>
      </c>
      <c r="K651" s="281" t="s">
        <v>42</v>
      </c>
      <c r="L651" s="275" t="s">
        <v>43</v>
      </c>
    </row>
    <row r="652" spans="1:12" ht="15.75" x14ac:dyDescent="0.25">
      <c r="A652" s="282"/>
      <c r="B652" s="276"/>
      <c r="C652" s="283"/>
      <c r="D652" s="278"/>
      <c r="E652" s="284"/>
      <c r="F652" s="285"/>
      <c r="G652" s="285"/>
      <c r="H652" s="286"/>
      <c r="I652" s="280"/>
      <c r="J652" s="287"/>
      <c r="K652" s="288"/>
      <c r="L652" s="289"/>
    </row>
    <row r="653" spans="1:12" x14ac:dyDescent="0.2">
      <c r="A653" s="264">
        <v>1</v>
      </c>
      <c r="B653" s="263" t="s">
        <v>44</v>
      </c>
      <c r="C653" s="290">
        <v>50000</v>
      </c>
      <c r="D653" s="265"/>
      <c r="E653" s="291"/>
      <c r="F653" s="292"/>
      <c r="G653" s="292">
        <f>+C653</f>
        <v>50000</v>
      </c>
      <c r="H653" s="293">
        <f>SUM(F653+G653)</f>
        <v>50000</v>
      </c>
      <c r="I653" s="265"/>
      <c r="J653" s="294">
        <f>+H653</f>
        <v>50000</v>
      </c>
      <c r="K653" s="292"/>
      <c r="L653" s="293"/>
    </row>
    <row r="654" spans="1:12" x14ac:dyDescent="0.2">
      <c r="B654" s="263"/>
      <c r="C654" s="290"/>
      <c r="D654" s="265"/>
      <c r="E654" s="291"/>
      <c r="F654" s="292"/>
      <c r="G654" s="292"/>
      <c r="H654" s="293"/>
      <c r="I654" s="265"/>
      <c r="J654" s="294"/>
      <c r="K654" s="292"/>
      <c r="L654" s="293"/>
    </row>
    <row r="655" spans="1:12" x14ac:dyDescent="0.2">
      <c r="A655" s="264">
        <v>2</v>
      </c>
      <c r="B655" s="263" t="s">
        <v>45</v>
      </c>
      <c r="C655" s="290">
        <v>89606</v>
      </c>
      <c r="D655" s="265"/>
      <c r="E655" s="291">
        <v>1</v>
      </c>
      <c r="F655" s="292">
        <f>+C655*E655</f>
        <v>89606</v>
      </c>
      <c r="G655" s="292"/>
      <c r="H655" s="293">
        <f>SUM(F655+G655)</f>
        <v>89606</v>
      </c>
      <c r="I655" s="265"/>
      <c r="J655" s="294">
        <f>+H655</f>
        <v>89606</v>
      </c>
      <c r="K655" s="292"/>
      <c r="L655" s="293"/>
    </row>
    <row r="656" spans="1:12" x14ac:dyDescent="0.2">
      <c r="B656" s="263"/>
      <c r="C656" s="290"/>
      <c r="D656" s="265"/>
      <c r="E656" s="291"/>
      <c r="F656" s="292"/>
      <c r="G656" s="292"/>
      <c r="H656" s="293"/>
      <c r="I656" s="265"/>
      <c r="J656" s="294"/>
      <c r="K656" s="292"/>
      <c r="L656" s="293"/>
    </row>
    <row r="657" spans="1:12" x14ac:dyDescent="0.2">
      <c r="A657" s="264">
        <v>3</v>
      </c>
      <c r="B657" s="301" t="s">
        <v>176</v>
      </c>
      <c r="C657" s="290">
        <v>69911</v>
      </c>
      <c r="D657" s="265"/>
      <c r="E657" s="291">
        <v>1</v>
      </c>
      <c r="F657" s="292">
        <f>+C657*E657</f>
        <v>69911</v>
      </c>
      <c r="G657" s="292"/>
      <c r="H657" s="293">
        <f>SUM(F657+G657)</f>
        <v>69911</v>
      </c>
      <c r="I657" s="265"/>
      <c r="J657" s="294"/>
      <c r="K657" s="292"/>
      <c r="L657" s="293">
        <f>$H$92</f>
        <v>69911</v>
      </c>
    </row>
    <row r="658" spans="1:12" x14ac:dyDescent="0.2">
      <c r="B658" s="263"/>
      <c r="C658" s="290"/>
      <c r="D658" s="265"/>
      <c r="E658" s="291"/>
      <c r="F658" s="292"/>
      <c r="G658" s="292"/>
      <c r="H658" s="293"/>
      <c r="I658" s="265"/>
      <c r="J658" s="294"/>
      <c r="K658" s="292"/>
      <c r="L658" s="293"/>
    </row>
    <row r="659" spans="1:12" x14ac:dyDescent="0.2">
      <c r="A659" s="264">
        <v>4</v>
      </c>
      <c r="B659" s="263" t="s">
        <v>46</v>
      </c>
      <c r="C659" s="290">
        <v>45865</v>
      </c>
      <c r="D659" s="265"/>
      <c r="E659" s="291">
        <v>1</v>
      </c>
      <c r="F659" s="292">
        <f>+C659*E659</f>
        <v>45865</v>
      </c>
      <c r="G659" s="292"/>
      <c r="H659" s="293">
        <f>SUM(F659+G659)</f>
        <v>45865</v>
      </c>
      <c r="I659" s="265"/>
      <c r="J659" s="294">
        <f>+H659</f>
        <v>45865</v>
      </c>
      <c r="K659" s="292"/>
      <c r="L659" s="293"/>
    </row>
    <row r="660" spans="1:12" x14ac:dyDescent="0.2">
      <c r="B660" s="263"/>
      <c r="C660" s="290"/>
      <c r="D660" s="265"/>
      <c r="E660" s="291"/>
      <c r="F660" s="292"/>
      <c r="G660" s="292"/>
      <c r="H660" s="293"/>
      <c r="I660" s="265"/>
      <c r="J660" s="294"/>
      <c r="K660" s="292"/>
      <c r="L660" s="293"/>
    </row>
    <row r="661" spans="1:12" x14ac:dyDescent="0.2">
      <c r="A661" s="264">
        <v>5</v>
      </c>
      <c r="B661" s="263" t="s">
        <v>47</v>
      </c>
      <c r="C661" s="290">
        <v>42470</v>
      </c>
      <c r="D661" s="265"/>
      <c r="E661" s="291">
        <v>1</v>
      </c>
      <c r="F661" s="292">
        <f>+C661*E661</f>
        <v>42470</v>
      </c>
      <c r="G661" s="292"/>
      <c r="H661" s="293">
        <f>SUM(F661+G661)</f>
        <v>42470</v>
      </c>
      <c r="I661" s="265"/>
      <c r="J661" s="294">
        <f>+H661</f>
        <v>42470</v>
      </c>
      <c r="K661" s="292"/>
      <c r="L661" s="293"/>
    </row>
    <row r="662" spans="1:12" x14ac:dyDescent="0.2">
      <c r="B662" s="263"/>
      <c r="C662" s="290"/>
      <c r="D662" s="265"/>
      <c r="E662" s="291"/>
      <c r="F662" s="292"/>
      <c r="G662" s="292"/>
      <c r="H662" s="293"/>
      <c r="I662" s="265"/>
      <c r="J662" s="294"/>
      <c r="K662" s="292"/>
      <c r="L662" s="293"/>
    </row>
    <row r="663" spans="1:12" x14ac:dyDescent="0.2">
      <c r="A663" s="264">
        <v>6</v>
      </c>
      <c r="B663" s="263" t="s">
        <v>113</v>
      </c>
      <c r="C663" s="290">
        <v>57775</v>
      </c>
      <c r="D663" s="265"/>
      <c r="E663" s="291">
        <v>1</v>
      </c>
      <c r="F663" s="292">
        <f>+C663*E663</f>
        <v>57775</v>
      </c>
      <c r="G663" s="292"/>
      <c r="H663" s="293">
        <f>SUM(F663+G663)</f>
        <v>57775</v>
      </c>
      <c r="I663" s="265"/>
      <c r="J663" s="294">
        <f>+H663</f>
        <v>57775</v>
      </c>
      <c r="K663" s="292"/>
      <c r="L663" s="293"/>
    </row>
    <row r="664" spans="1:12" x14ac:dyDescent="0.2">
      <c r="B664" s="263"/>
      <c r="C664" s="290"/>
      <c r="D664" s="265"/>
      <c r="E664" s="291"/>
      <c r="F664" s="292"/>
      <c r="G664" s="292"/>
      <c r="H664" s="293"/>
      <c r="I664" s="265"/>
      <c r="J664" s="294"/>
      <c r="K664" s="292"/>
      <c r="L664" s="293"/>
    </row>
    <row r="665" spans="1:12" x14ac:dyDescent="0.2">
      <c r="A665" s="264">
        <v>7</v>
      </c>
      <c r="B665" s="263" t="s">
        <v>151</v>
      </c>
      <c r="C665" s="273">
        <v>42470</v>
      </c>
      <c r="D665" s="265"/>
      <c r="E665" s="322">
        <f>ROUND(C642/100,0)</f>
        <v>1</v>
      </c>
      <c r="F665" s="292">
        <f>SUM(E665*C665)</f>
        <v>42470</v>
      </c>
      <c r="G665" s="292"/>
      <c r="H665" s="293">
        <f>SUM(F665+G665)</f>
        <v>42470</v>
      </c>
      <c r="I665" s="265"/>
      <c r="J665" s="293">
        <f>SUM(H665+I665)</f>
        <v>42470</v>
      </c>
      <c r="K665" s="296"/>
      <c r="L665" s="297"/>
    </row>
    <row r="666" spans="1:12" x14ac:dyDescent="0.2">
      <c r="B666" s="263" t="s">
        <v>199</v>
      </c>
      <c r="C666" s="273"/>
      <c r="D666" s="265"/>
      <c r="E666" s="322"/>
      <c r="F666" s="292"/>
      <c r="G666" s="292">
        <v>10200</v>
      </c>
      <c r="H666" s="293">
        <v>10200</v>
      </c>
      <c r="I666" s="265"/>
      <c r="J666" s="292">
        <v>10200</v>
      </c>
      <c r="K666" s="292"/>
      <c r="L666" s="293"/>
    </row>
    <row r="667" spans="1:12" x14ac:dyDescent="0.2">
      <c r="A667" s="264">
        <v>8</v>
      </c>
      <c r="B667" s="263" t="s">
        <v>50</v>
      </c>
      <c r="C667" s="290">
        <v>15000</v>
      </c>
      <c r="D667" s="265"/>
      <c r="E667" s="291"/>
      <c r="F667" s="292"/>
      <c r="G667" s="292">
        <f>+C667</f>
        <v>15000</v>
      </c>
      <c r="H667" s="293">
        <f>SUM(F667+G667)</f>
        <v>15000</v>
      </c>
      <c r="I667" s="265"/>
      <c r="J667" s="323">
        <f>+H667</f>
        <v>15000</v>
      </c>
      <c r="K667" s="292"/>
      <c r="L667" s="293"/>
    </row>
    <row r="668" spans="1:12" x14ac:dyDescent="0.2">
      <c r="B668" s="263"/>
      <c r="C668" s="290"/>
      <c r="D668" s="265"/>
      <c r="E668" s="291"/>
      <c r="F668" s="292"/>
      <c r="G668" s="292"/>
      <c r="H668" s="293"/>
      <c r="I668" s="265"/>
      <c r="J668" s="323"/>
      <c r="K668" s="292"/>
      <c r="L668" s="293"/>
    </row>
    <row r="669" spans="1:12" x14ac:dyDescent="0.2">
      <c r="A669" s="264">
        <v>9</v>
      </c>
      <c r="B669" s="263" t="s">
        <v>51</v>
      </c>
      <c r="C669" s="290">
        <v>30000</v>
      </c>
      <c r="D669" s="265"/>
      <c r="E669" s="291"/>
      <c r="F669" s="292"/>
      <c r="G669" s="292">
        <f>+C669</f>
        <v>30000</v>
      </c>
      <c r="H669" s="293">
        <f>SUM(F669+G669)</f>
        <v>30000</v>
      </c>
      <c r="I669" s="265"/>
      <c r="J669" s="323">
        <f>+H669</f>
        <v>30000</v>
      </c>
      <c r="K669" s="292"/>
      <c r="L669" s="293"/>
    </row>
    <row r="670" spans="1:12" x14ac:dyDescent="0.2">
      <c r="B670" s="263"/>
      <c r="C670" s="290"/>
      <c r="D670" s="265"/>
      <c r="E670" s="291"/>
      <c r="F670" s="292"/>
      <c r="G670" s="292"/>
      <c r="H670" s="293"/>
      <c r="I670" s="265"/>
      <c r="J670" s="323"/>
      <c r="K670" s="292"/>
      <c r="L670" s="293"/>
    </row>
    <row r="671" spans="1:12" x14ac:dyDescent="0.2">
      <c r="A671" s="264">
        <v>10</v>
      </c>
      <c r="B671" s="263" t="s">
        <v>52</v>
      </c>
      <c r="C671" s="290">
        <v>40000</v>
      </c>
      <c r="D671" s="265"/>
      <c r="E671" s="291"/>
      <c r="F671" s="292"/>
      <c r="G671" s="292">
        <f>+C671</f>
        <v>40000</v>
      </c>
      <c r="H671" s="293">
        <f>SUM(F671+G671)</f>
        <v>40000</v>
      </c>
      <c r="I671" s="265"/>
      <c r="J671" s="323">
        <f>+H671</f>
        <v>40000</v>
      </c>
      <c r="K671" s="292"/>
      <c r="L671" s="293"/>
    </row>
    <row r="672" spans="1:12" x14ac:dyDescent="0.2">
      <c r="B672" s="263"/>
      <c r="C672" s="290"/>
      <c r="D672" s="265"/>
      <c r="E672" s="291"/>
      <c r="F672" s="292"/>
      <c r="G672" s="292"/>
      <c r="H672" s="293"/>
      <c r="I672" s="265"/>
      <c r="J672" s="294"/>
      <c r="K672" s="292"/>
      <c r="L672" s="293"/>
    </row>
    <row r="673" spans="1:12" x14ac:dyDescent="0.2">
      <c r="A673" s="264">
        <v>11</v>
      </c>
      <c r="B673" s="263" t="s">
        <v>53</v>
      </c>
      <c r="C673" s="290"/>
      <c r="D673" s="265"/>
      <c r="E673" s="291"/>
      <c r="F673" s="292"/>
      <c r="G673" s="292">
        <f>ROUND((F655+F657+F659+F661+F663+F675+F679+F681+F686+F688+F690+F692+F665+F694+F683)*0.15,0)</f>
        <v>392222</v>
      </c>
      <c r="H673" s="293">
        <f>SUM(G673)</f>
        <v>392222</v>
      </c>
      <c r="I673" s="265"/>
      <c r="J673" s="323">
        <f>ROUND((SUM(F655:F665)*0.15),0)</f>
        <v>52215</v>
      </c>
      <c r="K673" s="324">
        <f>ROUND(SUM(F675:F690,F692)*0.15,0)</f>
        <v>282808</v>
      </c>
      <c r="L673" s="325">
        <f>ROUND(F694*0.15,0)</f>
        <v>57200</v>
      </c>
    </row>
    <row r="674" spans="1:12" x14ac:dyDescent="0.2">
      <c r="B674" s="263"/>
      <c r="C674" s="290"/>
      <c r="D674" s="265"/>
      <c r="E674" s="291"/>
      <c r="F674" s="292"/>
      <c r="G674" s="292"/>
      <c r="H674" s="293"/>
      <c r="I674" s="265"/>
      <c r="J674" s="294"/>
      <c r="K674" s="296"/>
      <c r="L674" s="297"/>
    </row>
    <row r="675" spans="1:12" x14ac:dyDescent="0.2">
      <c r="A675" s="264">
        <v>12</v>
      </c>
      <c r="B675" s="263" t="s">
        <v>54</v>
      </c>
      <c r="C675" s="290"/>
      <c r="D675" s="265"/>
      <c r="E675" s="291"/>
      <c r="F675" s="292">
        <f>(F655+F657+F659+F661+F679+F663+F681++F686+F688+F690+F694+F665+F692+F683)*0.2045</f>
        <v>443943.50804999995</v>
      </c>
      <c r="G675" s="292"/>
      <c r="H675" s="293">
        <f>(F655+F657+F659+F661+F663+F679+F681+F686+F688+F690+F694+F665+F692+F683)*0.2045</f>
        <v>443943.50804999995</v>
      </c>
      <c r="I675" s="265"/>
      <c r="J675" s="323">
        <f>ROUND((SUM(F655:F665)*0.2045),0)</f>
        <v>71186</v>
      </c>
      <c r="K675" s="324">
        <f>ROUND((SUM(F679:F692)*0.2045),0)</f>
        <v>294776</v>
      </c>
      <c r="L675" s="325">
        <f>ROUND(F694*0.2045,0)</f>
        <v>77982</v>
      </c>
    </row>
    <row r="676" spans="1:12" x14ac:dyDescent="0.2">
      <c r="B676" s="263"/>
      <c r="C676" s="290"/>
      <c r="D676" s="265"/>
      <c r="E676" s="291"/>
      <c r="F676" s="292"/>
      <c r="G676" s="292"/>
      <c r="H676" s="293"/>
      <c r="I676" s="265"/>
      <c r="J676" s="294"/>
      <c r="K676" s="296"/>
      <c r="L676" s="297"/>
    </row>
    <row r="677" spans="1:12" x14ac:dyDescent="0.2">
      <c r="A677" s="264">
        <v>13</v>
      </c>
      <c r="B677" s="263" t="s">
        <v>55</v>
      </c>
      <c r="C677" s="290">
        <v>2000</v>
      </c>
      <c r="D677" s="265"/>
      <c r="E677" s="291"/>
      <c r="F677" s="292"/>
      <c r="G677" s="292">
        <f>E702*2000</f>
        <v>66000</v>
      </c>
      <c r="H677" s="293">
        <f t="shared" ref="H677" si="78">SUM(F677+G677)</f>
        <v>66000</v>
      </c>
      <c r="I677" s="265"/>
      <c r="J677" s="294">
        <f>(E655+E657+E659+E661+E663+E665)*2000</f>
        <v>12000</v>
      </c>
      <c r="K677" s="296">
        <f>ROUND(SUM(E681,E686,E688,E690,E692,E683)*2000,0)</f>
        <v>42000</v>
      </c>
      <c r="L677" s="297">
        <f>ROUND(E694*2000,0)</f>
        <v>12000</v>
      </c>
    </row>
    <row r="678" spans="1:12" x14ac:dyDescent="0.2">
      <c r="B678" s="263"/>
      <c r="C678" s="290"/>
      <c r="D678" s="265"/>
      <c r="E678" s="291"/>
      <c r="F678" s="292"/>
      <c r="G678" s="292"/>
      <c r="H678" s="293"/>
      <c r="I678" s="265"/>
      <c r="J678" s="294"/>
      <c r="K678" s="296"/>
      <c r="L678" s="297"/>
    </row>
    <row r="679" spans="1:12" ht="36.75" customHeight="1" x14ac:dyDescent="0.2">
      <c r="A679" s="264">
        <v>14</v>
      </c>
      <c r="B679" s="263" t="s">
        <v>114</v>
      </c>
      <c r="C679" s="290"/>
      <c r="D679" s="265"/>
      <c r="E679" s="291"/>
      <c r="F679" s="292">
        <f>(F686+F690+F692+F681+F683+F694+F688)*0.1</f>
        <v>165706.90000000002</v>
      </c>
      <c r="G679" s="292"/>
      <c r="H679" s="293">
        <f>SUM(F679+G679)</f>
        <v>165706.90000000002</v>
      </c>
      <c r="I679" s="265"/>
      <c r="J679" s="294"/>
      <c r="K679" s="296">
        <f>ROUND((+F681+F686+F690+F692+F683+F688)*0.1,0)</f>
        <v>127574</v>
      </c>
      <c r="L679" s="297">
        <f>ROUND(F694*0.1,0)</f>
        <v>38133</v>
      </c>
    </row>
    <row r="680" spans="1:12" x14ac:dyDescent="0.2">
      <c r="B680" s="263"/>
      <c r="C680" s="290"/>
      <c r="D680" s="265"/>
      <c r="E680" s="291"/>
      <c r="F680" s="292"/>
      <c r="G680" s="292"/>
      <c r="H680" s="293"/>
      <c r="I680" s="265"/>
      <c r="J680" s="294"/>
      <c r="K680" s="292"/>
      <c r="L680" s="293"/>
    </row>
    <row r="681" spans="1:12" x14ac:dyDescent="0.2">
      <c r="A681" s="264">
        <v>15</v>
      </c>
      <c r="B681" s="263" t="s">
        <v>57</v>
      </c>
      <c r="C681" s="290">
        <v>69911</v>
      </c>
      <c r="D681" s="265"/>
      <c r="E681" s="326">
        <f>ROUND((E694+E690+E688+E686+E692+E683)/6,0)</f>
        <v>4</v>
      </c>
      <c r="F681" s="292">
        <f>F647*E681</f>
        <v>279644</v>
      </c>
      <c r="G681" s="292"/>
      <c r="H681" s="293">
        <f t="shared" ref="H681" si="79">SUM(F681+G681)</f>
        <v>279644</v>
      </c>
      <c r="I681" s="265"/>
      <c r="J681" s="291"/>
      <c r="K681" s="296">
        <f>ROUND(F681*((+E$49+E$51+E$53)/(E$49+E$51+E$53+E$55)),0)</f>
        <v>176154</v>
      </c>
      <c r="L681" s="297">
        <f>ROUND((+F681*(E$55/(+E$49+E$51+E$53+E$55))),0)</f>
        <v>103490</v>
      </c>
    </row>
    <row r="682" spans="1:12" x14ac:dyDescent="0.2">
      <c r="B682" s="263"/>
      <c r="C682" s="290"/>
      <c r="D682" s="265"/>
      <c r="E682" s="291"/>
      <c r="F682" s="292"/>
      <c r="G682" s="292"/>
      <c r="H682" s="293"/>
      <c r="I682" s="265"/>
      <c r="J682" s="294"/>
      <c r="K682" s="292"/>
      <c r="L682" s="293"/>
    </row>
    <row r="683" spans="1:12" x14ac:dyDescent="0.2">
      <c r="A683" s="301">
        <v>16</v>
      </c>
      <c r="B683" s="301" t="s">
        <v>160</v>
      </c>
      <c r="C683" s="290">
        <v>42470</v>
      </c>
      <c r="D683" s="265"/>
      <c r="E683" s="326">
        <f>ROUNDUP((E694+E690+E688+E686+E692)/6,0)</f>
        <v>4</v>
      </c>
      <c r="F683" s="327">
        <f>F648*E683</f>
        <v>169880</v>
      </c>
      <c r="H683" s="293">
        <f t="shared" ref="H683" si="80">SUM(F683+G683)</f>
        <v>169880</v>
      </c>
      <c r="I683" s="265"/>
      <c r="J683" s="294"/>
      <c r="K683" s="296">
        <f>ROUND(F683*((+E$49+E$51+E$53)/(E$49+E$51+E$53+E$55)),0)</f>
        <v>107011</v>
      </c>
      <c r="L683" s="297">
        <f>ROUND((+F683*(E$55/(+E$49+E$51+E$53+E$55))),0)</f>
        <v>62869</v>
      </c>
    </row>
    <row r="684" spans="1:12" x14ac:dyDescent="0.2">
      <c r="B684" s="263"/>
      <c r="C684" s="290"/>
      <c r="D684" s="265"/>
      <c r="E684" s="291"/>
      <c r="F684" s="292"/>
      <c r="G684" s="292"/>
      <c r="H684" s="293"/>
      <c r="I684" s="265"/>
      <c r="J684" s="294"/>
      <c r="K684" s="292"/>
      <c r="L684" s="293"/>
    </row>
    <row r="685" spans="1:12" ht="15.75" x14ac:dyDescent="0.25">
      <c r="A685" s="282" t="s">
        <v>115</v>
      </c>
      <c r="B685" s="263"/>
      <c r="C685" s="290"/>
      <c r="D685" s="265"/>
      <c r="E685" s="291"/>
      <c r="F685" s="292"/>
      <c r="G685" s="292"/>
      <c r="H685" s="293"/>
      <c r="I685" s="265"/>
      <c r="J685" s="294"/>
      <c r="K685" s="292"/>
      <c r="L685" s="293"/>
    </row>
    <row r="686" spans="1:12" x14ac:dyDescent="0.2">
      <c r="A686" s="300">
        <v>17</v>
      </c>
      <c r="B686" s="301" t="s">
        <v>60</v>
      </c>
      <c r="C686" s="302">
        <v>63555</v>
      </c>
      <c r="D686" s="303"/>
      <c r="E686" s="304">
        <f>ROUND(C642/30,0)</f>
        <v>4</v>
      </c>
      <c r="F686" s="305">
        <f>F646*E686</f>
        <v>254220</v>
      </c>
      <c r="G686" s="305"/>
      <c r="H686" s="293">
        <f t="shared" ref="H686" si="81">SUM(F686+G686)</f>
        <v>254220</v>
      </c>
      <c r="I686" s="303"/>
      <c r="J686" s="306"/>
      <c r="K686" s="292">
        <f>SUM(E686*F646)</f>
        <v>254220</v>
      </c>
      <c r="L686" s="293"/>
    </row>
    <row r="687" spans="1:12" x14ac:dyDescent="0.2">
      <c r="A687" s="301"/>
      <c r="B687" s="301"/>
      <c r="C687" s="290"/>
      <c r="D687" s="265"/>
      <c r="E687" s="291"/>
      <c r="F687" s="292"/>
      <c r="G687" s="292"/>
      <c r="H687" s="293"/>
      <c r="I687" s="265"/>
      <c r="J687" s="294"/>
      <c r="K687" s="292"/>
      <c r="L687" s="293"/>
    </row>
    <row r="688" spans="1:12" ht="30" x14ac:dyDescent="0.2">
      <c r="A688" s="300">
        <v>18</v>
      </c>
      <c r="B688" s="301" t="s">
        <v>61</v>
      </c>
      <c r="C688" s="290">
        <v>63555</v>
      </c>
      <c r="D688" s="265"/>
      <c r="E688" s="291">
        <f>1</f>
        <v>1</v>
      </c>
      <c r="F688" s="292">
        <f>F646*E688</f>
        <v>63555</v>
      </c>
      <c r="G688" s="292"/>
      <c r="H688" s="293">
        <f t="shared" ref="H688" si="82">SUM(F688+G688)</f>
        <v>63555</v>
      </c>
      <c r="I688" s="265"/>
      <c r="J688" s="294" t="s">
        <v>62</v>
      </c>
      <c r="K688" s="292">
        <f>SUM(E688*F646)</f>
        <v>63555</v>
      </c>
      <c r="L688" s="293"/>
    </row>
    <row r="689" spans="1:12" x14ac:dyDescent="0.2">
      <c r="A689" s="301"/>
      <c r="B689" s="301"/>
      <c r="C689" s="290"/>
      <c r="D689" s="265"/>
      <c r="E689" s="291"/>
      <c r="F689" s="292"/>
      <c r="G689" s="292"/>
      <c r="H689" s="293"/>
      <c r="I689" s="265"/>
      <c r="J689" s="294"/>
      <c r="K689" s="292"/>
      <c r="L689" s="293"/>
    </row>
    <row r="690" spans="1:12" x14ac:dyDescent="0.2">
      <c r="A690" s="301">
        <v>19</v>
      </c>
      <c r="B690" s="301" t="s">
        <v>63</v>
      </c>
      <c r="C690" s="290">
        <v>63555</v>
      </c>
      <c r="D690" s="265"/>
      <c r="E690" s="291">
        <f>ROUND(C642/20,0)</f>
        <v>5</v>
      </c>
      <c r="F690" s="292">
        <f>F646*E690</f>
        <v>317775</v>
      </c>
      <c r="G690" s="292"/>
      <c r="H690" s="293">
        <f t="shared" ref="H690" si="83">SUM(F690+G690)</f>
        <v>317775</v>
      </c>
      <c r="I690" s="265"/>
      <c r="J690" s="294"/>
      <c r="K690" s="292">
        <f>SUM(E690*F646)</f>
        <v>317775</v>
      </c>
      <c r="L690" s="293"/>
    </row>
    <row r="691" spans="1:12" x14ac:dyDescent="0.2">
      <c r="A691" s="301"/>
      <c r="B691" s="301"/>
      <c r="C691" s="290"/>
      <c r="D691" s="265"/>
      <c r="E691" s="291"/>
      <c r="F691" s="292"/>
      <c r="G691" s="292"/>
      <c r="H691" s="293"/>
      <c r="I691" s="265"/>
      <c r="J691" s="294"/>
      <c r="K691" s="292"/>
      <c r="L691" s="293"/>
    </row>
    <row r="692" spans="1:12" x14ac:dyDescent="0.2">
      <c r="A692" s="301">
        <v>20</v>
      </c>
      <c r="B692" s="301" t="s">
        <v>111</v>
      </c>
      <c r="C692" s="290">
        <v>63555</v>
      </c>
      <c r="D692" s="265"/>
      <c r="E692" s="328">
        <f>ROUNDDOWN(C643/40,0)</f>
        <v>3</v>
      </c>
      <c r="F692" s="292">
        <f>F646*E692</f>
        <v>190665</v>
      </c>
      <c r="G692" s="292"/>
      <c r="H692" s="293">
        <f t="shared" ref="H692" si="84">SUM(F692+G692)</f>
        <v>190665</v>
      </c>
      <c r="I692" s="290"/>
      <c r="K692" s="265">
        <f>SUM(E692*F646)</f>
        <v>190665</v>
      </c>
      <c r="L692" s="329"/>
    </row>
    <row r="693" spans="1:12" x14ac:dyDescent="0.2">
      <c r="A693" s="301"/>
      <c r="B693" s="301"/>
      <c r="C693" s="290"/>
      <c r="D693" s="265"/>
      <c r="E693" s="291"/>
      <c r="F693" s="292"/>
      <c r="G693" s="292"/>
      <c r="H693" s="293"/>
      <c r="I693" s="290"/>
      <c r="L693" s="329"/>
    </row>
    <row r="694" spans="1:12" x14ac:dyDescent="0.2">
      <c r="A694" s="301">
        <v>21</v>
      </c>
      <c r="B694" s="301" t="s">
        <v>112</v>
      </c>
      <c r="C694" s="290">
        <v>63555</v>
      </c>
      <c r="D694" s="265"/>
      <c r="E694" s="328">
        <f>ROUND(C643/20,0)</f>
        <v>6</v>
      </c>
      <c r="F694" s="292">
        <f>SUM(E694*F646)</f>
        <v>381330</v>
      </c>
      <c r="H694" s="293">
        <f t="shared" ref="H694" si="85">SUM(F694+G694)</f>
        <v>381330</v>
      </c>
      <c r="I694" s="290"/>
      <c r="K694" s="265"/>
      <c r="L694" s="293">
        <f>SUM(H694)</f>
        <v>381330</v>
      </c>
    </row>
    <row r="695" spans="1:12" x14ac:dyDescent="0.2">
      <c r="A695" s="301"/>
      <c r="B695" s="301"/>
      <c r="C695" s="290"/>
      <c r="D695" s="265"/>
      <c r="E695" s="291"/>
      <c r="F695" s="292"/>
      <c r="H695" s="293"/>
      <c r="I695" s="290"/>
      <c r="L695" s="329"/>
    </row>
    <row r="696" spans="1:12" x14ac:dyDescent="0.2">
      <c r="A696" s="301">
        <v>22</v>
      </c>
      <c r="B696" s="301" t="s">
        <v>155</v>
      </c>
      <c r="C696" s="295"/>
      <c r="D696" s="307"/>
      <c r="E696" s="291"/>
      <c r="F696" s="292"/>
      <c r="G696" s="292">
        <f>ROUND(175*C641,0)</f>
        <v>320250</v>
      </c>
      <c r="H696" s="293">
        <f t="shared" ref="H696" si="86">SUM(F696+G696)</f>
        <v>320250</v>
      </c>
      <c r="I696" s="265"/>
      <c r="J696" s="294" t="s">
        <v>62</v>
      </c>
      <c r="K696" s="292">
        <f>ROUND(175/2*C641,0)</f>
        <v>160125</v>
      </c>
      <c r="L696" s="293">
        <f>ROUND(175/2*C641,0)</f>
        <v>160125</v>
      </c>
    </row>
    <row r="697" spans="1:12" x14ac:dyDescent="0.2">
      <c r="A697" s="301"/>
      <c r="B697" s="301"/>
      <c r="C697" s="290"/>
      <c r="D697" s="265"/>
      <c r="E697" s="291"/>
      <c r="F697" s="292"/>
      <c r="G697" s="292"/>
      <c r="H697" s="293"/>
      <c r="I697" s="265"/>
      <c r="J697" s="294"/>
      <c r="K697" s="292"/>
      <c r="L697" s="293"/>
    </row>
    <row r="698" spans="1:12" x14ac:dyDescent="0.2">
      <c r="A698" s="301">
        <v>23</v>
      </c>
      <c r="B698" s="301" t="s">
        <v>66</v>
      </c>
      <c r="C698" s="290">
        <v>11500</v>
      </c>
      <c r="D698" s="265"/>
      <c r="E698" s="291"/>
      <c r="F698" s="292"/>
      <c r="G698" s="292">
        <f>(E655+E681+E692+E686+E688+E690+E694+E683)*11500</f>
        <v>322000</v>
      </c>
      <c r="H698" s="293">
        <f>SUM(F698:G698)</f>
        <v>322000</v>
      </c>
      <c r="I698" s="265"/>
      <c r="J698" s="323">
        <f>ROUND(11500*E655,0)</f>
        <v>11500</v>
      </c>
      <c r="K698" s="296">
        <f>(ROUND(11500*(+E690+E688+E686+E692+E681+E683),0))</f>
        <v>241500</v>
      </c>
      <c r="L698" s="297">
        <f>ROUND(11500*E694,0)</f>
        <v>69000</v>
      </c>
    </row>
    <row r="699" spans="1:12" x14ac:dyDescent="0.2">
      <c r="A699" s="301"/>
      <c r="B699" s="301"/>
      <c r="C699" s="290"/>
      <c r="D699" s="265"/>
      <c r="E699" s="291"/>
      <c r="G699" s="292"/>
      <c r="H699" s="293"/>
      <c r="J699" s="294"/>
      <c r="K699" s="296"/>
      <c r="L699" s="297"/>
    </row>
    <row r="700" spans="1:12" x14ac:dyDescent="0.2">
      <c r="A700" s="301">
        <v>24</v>
      </c>
      <c r="B700" s="301" t="s">
        <v>82</v>
      </c>
      <c r="C700" s="290"/>
      <c r="D700" s="265"/>
      <c r="E700" s="291"/>
      <c r="G700" s="292">
        <v>32200</v>
      </c>
      <c r="H700" s="293">
        <f t="shared" ref="H700" si="87">SUM(F700+G700)</f>
        <v>32200</v>
      </c>
      <c r="I700" s="330"/>
      <c r="J700" s="292"/>
      <c r="K700" s="296"/>
      <c r="L700" s="297">
        <f>+H700</f>
        <v>32200</v>
      </c>
    </row>
    <row r="701" spans="1:12" ht="15.75" thickBot="1" x14ac:dyDescent="0.25">
      <c r="B701" s="331"/>
      <c r="C701" s="332"/>
      <c r="D701" s="265"/>
      <c r="E701" s="291"/>
      <c r="H701" s="293"/>
      <c r="I701" s="333"/>
      <c r="J701" s="265"/>
      <c r="L701" s="293"/>
    </row>
    <row r="702" spans="1:12" ht="16.5" thickBot="1" x14ac:dyDescent="0.3">
      <c r="B702" s="334" t="s">
        <v>67</v>
      </c>
      <c r="C702" s="335"/>
      <c r="D702" s="336"/>
      <c r="E702" s="337">
        <f>SUM(E652:E701)</f>
        <v>33</v>
      </c>
      <c r="F702" s="336">
        <f>SUM(F652:F700)</f>
        <v>2614816.4080499997</v>
      </c>
      <c r="G702" s="336">
        <f>SUM(G653:G700)</f>
        <v>1277872</v>
      </c>
      <c r="H702" s="338">
        <f>SUM(H653:H701)</f>
        <v>3892688.4080499997</v>
      </c>
      <c r="I702" s="336"/>
      <c r="J702" s="339">
        <f>SUM(J653:J700)</f>
        <v>570287</v>
      </c>
      <c r="K702" s="336">
        <f>SUM(K653:K701)</f>
        <v>2258163</v>
      </c>
      <c r="L702" s="340">
        <f>SUM(L652:L701)</f>
        <v>1064240</v>
      </c>
    </row>
    <row r="703" spans="1:12" ht="15.75" x14ac:dyDescent="0.25">
      <c r="B703" s="272"/>
      <c r="C703" s="271"/>
      <c r="D703" s="271"/>
      <c r="E703" s="274"/>
      <c r="J703" s="265"/>
      <c r="K703" s="265"/>
      <c r="L703" s="347"/>
    </row>
    <row r="704" spans="1:12" ht="15.75" x14ac:dyDescent="0.25">
      <c r="B704" s="318"/>
      <c r="C704" s="271"/>
      <c r="D704" s="271"/>
      <c r="E704" s="274"/>
      <c r="J704" s="265"/>
      <c r="K704" s="265"/>
      <c r="L704" s="347"/>
    </row>
    <row r="705" spans="1:12" ht="15.75" x14ac:dyDescent="0.25">
      <c r="C705" s="272"/>
      <c r="D705" s="272"/>
      <c r="E705" s="274"/>
      <c r="L705" s="347"/>
    </row>
    <row r="707" spans="1:12" ht="15.75" x14ac:dyDescent="0.25">
      <c r="A707" s="262"/>
      <c r="B707" s="263"/>
      <c r="C707" s="320" t="s">
        <v>93</v>
      </c>
    </row>
    <row r="708" spans="1:12" ht="15.75" x14ac:dyDescent="0.25">
      <c r="A708" s="266" t="s">
        <v>24</v>
      </c>
      <c r="B708" s="267"/>
    </row>
    <row r="709" spans="1:12" ht="15.75" x14ac:dyDescent="0.25">
      <c r="A709" s="266" t="s">
        <v>106</v>
      </c>
      <c r="B709" s="263"/>
      <c r="C709" s="268"/>
      <c r="D709" s="268"/>
    </row>
    <row r="710" spans="1:12" x14ac:dyDescent="0.2">
      <c r="B710" s="263"/>
      <c r="C710" s="269"/>
      <c r="D710" s="269"/>
    </row>
    <row r="711" spans="1:12" ht="15.75" x14ac:dyDescent="0.25">
      <c r="B711" s="263"/>
      <c r="C711" s="270"/>
      <c r="E711" s="271"/>
    </row>
    <row r="712" spans="1:12" ht="15.75" x14ac:dyDescent="0.25">
      <c r="A712" s="264" t="s">
        <v>27</v>
      </c>
      <c r="B712" s="263"/>
      <c r="C712" s="348">
        <v>2889</v>
      </c>
      <c r="D712" s="270" t="s">
        <v>79</v>
      </c>
      <c r="E712" s="271"/>
    </row>
    <row r="713" spans="1:12" ht="15.75" x14ac:dyDescent="0.25">
      <c r="A713" s="264" t="s">
        <v>28</v>
      </c>
      <c r="B713" s="263"/>
      <c r="C713" s="270">
        <f>SUM(C712*0.06)</f>
        <v>173.34</v>
      </c>
      <c r="D713" s="270"/>
      <c r="E713" s="271"/>
    </row>
    <row r="714" spans="1:12" ht="15.75" x14ac:dyDescent="0.25">
      <c r="A714" s="264" t="s">
        <v>29</v>
      </c>
      <c r="B714" s="263"/>
      <c r="C714" s="348">
        <v>192.60000000000002</v>
      </c>
      <c r="D714" s="268"/>
      <c r="E714" s="271"/>
    </row>
    <row r="715" spans="1:12" ht="15.75" x14ac:dyDescent="0.25">
      <c r="B715" s="263" t="s">
        <v>30</v>
      </c>
      <c r="C715" s="348">
        <v>1</v>
      </c>
    </row>
    <row r="716" spans="1:12" x14ac:dyDescent="0.2">
      <c r="B716" s="263"/>
      <c r="D716" s="273"/>
      <c r="F716" s="273"/>
      <c r="I716" s="265"/>
    </row>
    <row r="717" spans="1:12" x14ac:dyDescent="0.2">
      <c r="A717" s="349" t="s">
        <v>107</v>
      </c>
      <c r="B717" s="350"/>
      <c r="C717" s="351"/>
      <c r="D717" s="352"/>
      <c r="E717" s="351"/>
      <c r="F717" s="352">
        <v>63555</v>
      </c>
      <c r="G717" s="351"/>
      <c r="H717" s="353"/>
      <c r="I717" s="353"/>
      <c r="J717" s="351"/>
      <c r="K717" s="351"/>
      <c r="L717" s="351"/>
    </row>
    <row r="718" spans="1:12" x14ac:dyDescent="0.2">
      <c r="A718" s="349" t="s">
        <v>108</v>
      </c>
      <c r="B718" s="350"/>
      <c r="C718" s="351"/>
      <c r="D718" s="352"/>
      <c r="E718" s="351"/>
      <c r="F718" s="352">
        <v>69911</v>
      </c>
      <c r="G718" s="351"/>
      <c r="H718" s="353"/>
      <c r="I718" s="353"/>
      <c r="J718" s="351"/>
      <c r="K718" s="351"/>
      <c r="L718" s="351"/>
    </row>
    <row r="719" spans="1:12" x14ac:dyDescent="0.2">
      <c r="A719" s="349" t="s">
        <v>109</v>
      </c>
      <c r="B719" s="350"/>
      <c r="C719" s="351"/>
      <c r="D719" s="352"/>
      <c r="E719" s="351"/>
      <c r="F719" s="352">
        <v>42470</v>
      </c>
      <c r="G719" s="351"/>
      <c r="H719" s="353"/>
      <c r="I719" s="353"/>
      <c r="J719" s="351"/>
      <c r="K719" s="351"/>
      <c r="L719" s="351"/>
    </row>
    <row r="720" spans="1:12" ht="15.75" x14ac:dyDescent="0.25">
      <c r="B720" s="263"/>
      <c r="J720" s="275" t="s">
        <v>34</v>
      </c>
      <c r="K720" s="419" t="s">
        <v>35</v>
      </c>
      <c r="L720" s="420"/>
    </row>
    <row r="721" spans="1:12" ht="15.75" x14ac:dyDescent="0.25">
      <c r="A721" s="266" t="s">
        <v>36</v>
      </c>
      <c r="B721" s="276"/>
      <c r="C721" s="277" t="s">
        <v>80</v>
      </c>
      <c r="D721" s="278"/>
      <c r="E721" s="275" t="s">
        <v>38</v>
      </c>
      <c r="F721" s="275" t="s">
        <v>39</v>
      </c>
      <c r="G721" s="275" t="s">
        <v>40</v>
      </c>
      <c r="H721" s="279" t="s">
        <v>0</v>
      </c>
      <c r="I721" s="280"/>
      <c r="J721" s="277" t="s">
        <v>41</v>
      </c>
      <c r="K721" s="281" t="s">
        <v>42</v>
      </c>
      <c r="L721" s="275" t="s">
        <v>43</v>
      </c>
    </row>
    <row r="722" spans="1:12" ht="15.75" x14ac:dyDescent="0.25">
      <c r="A722" s="282"/>
      <c r="B722" s="276"/>
      <c r="C722" s="283"/>
      <c r="D722" s="278"/>
      <c r="E722" s="284"/>
      <c r="F722" s="285"/>
      <c r="G722" s="285"/>
      <c r="H722" s="286"/>
      <c r="I722" s="280"/>
      <c r="J722" s="287"/>
      <c r="K722" s="288"/>
      <c r="L722" s="289"/>
    </row>
    <row r="723" spans="1:12" x14ac:dyDescent="0.2">
      <c r="A723" s="264">
        <v>1</v>
      </c>
      <c r="B723" s="263" t="s">
        <v>44</v>
      </c>
      <c r="C723" s="290">
        <v>50000</v>
      </c>
      <c r="D723" s="265"/>
      <c r="E723" s="291"/>
      <c r="F723" s="292"/>
      <c r="G723" s="292">
        <f>+C723</f>
        <v>50000</v>
      </c>
      <c r="H723" s="293">
        <f>SUM(F723+G723)</f>
        <v>50000</v>
      </c>
      <c r="I723" s="265"/>
      <c r="J723" s="294">
        <f>+H723</f>
        <v>50000</v>
      </c>
      <c r="K723" s="292"/>
      <c r="L723" s="293"/>
    </row>
    <row r="724" spans="1:12" x14ac:dyDescent="0.2">
      <c r="B724" s="263"/>
      <c r="C724" s="290"/>
      <c r="D724" s="265"/>
      <c r="E724" s="291"/>
      <c r="F724" s="292"/>
      <c r="G724" s="292"/>
      <c r="H724" s="293"/>
      <c r="I724" s="265"/>
      <c r="J724" s="294"/>
      <c r="K724" s="292"/>
      <c r="L724" s="293"/>
    </row>
    <row r="725" spans="1:12" x14ac:dyDescent="0.2">
      <c r="A725" s="264">
        <v>2</v>
      </c>
      <c r="B725" s="263" t="s">
        <v>45</v>
      </c>
      <c r="C725" s="290">
        <v>89606</v>
      </c>
      <c r="D725" s="265"/>
      <c r="E725" s="291">
        <v>1</v>
      </c>
      <c r="F725" s="292">
        <f>+C725*E725</f>
        <v>89606</v>
      </c>
      <c r="G725" s="292"/>
      <c r="H725" s="293">
        <f>SUM(F725+G725)</f>
        <v>89606</v>
      </c>
      <c r="I725" s="265"/>
      <c r="J725" s="294">
        <f>+H725</f>
        <v>89606</v>
      </c>
      <c r="K725" s="292"/>
      <c r="L725" s="293"/>
    </row>
    <row r="726" spans="1:12" x14ac:dyDescent="0.2">
      <c r="B726" s="263"/>
      <c r="C726" s="290"/>
      <c r="D726" s="265"/>
      <c r="E726" s="291"/>
      <c r="F726" s="292"/>
      <c r="G726" s="292"/>
      <c r="H726" s="293"/>
      <c r="I726" s="265"/>
      <c r="J726" s="294"/>
      <c r="K726" s="292"/>
      <c r="L726" s="293"/>
    </row>
    <row r="727" spans="1:12" x14ac:dyDescent="0.2">
      <c r="A727" s="264">
        <v>3</v>
      </c>
      <c r="B727" s="301" t="s">
        <v>176</v>
      </c>
      <c r="C727" s="290">
        <v>69911</v>
      </c>
      <c r="D727" s="265"/>
      <c r="E727" s="291">
        <v>1</v>
      </c>
      <c r="F727" s="292">
        <f>+C727*E727</f>
        <v>69911</v>
      </c>
      <c r="G727" s="292"/>
      <c r="H727" s="293">
        <f>SUM(F727+G727)</f>
        <v>69911</v>
      </c>
      <c r="I727" s="265"/>
      <c r="J727" s="294"/>
      <c r="K727" s="292"/>
      <c r="L727" s="293">
        <f>$H$92</f>
        <v>69911</v>
      </c>
    </row>
    <row r="728" spans="1:12" x14ac:dyDescent="0.2">
      <c r="B728" s="263"/>
      <c r="C728" s="290"/>
      <c r="D728" s="265"/>
      <c r="E728" s="291"/>
      <c r="F728" s="292"/>
      <c r="G728" s="292"/>
      <c r="H728" s="293"/>
      <c r="I728" s="265"/>
      <c r="J728" s="294"/>
      <c r="K728" s="292"/>
      <c r="L728" s="293"/>
    </row>
    <row r="729" spans="1:12" x14ac:dyDescent="0.2">
      <c r="A729" s="264">
        <v>4</v>
      </c>
      <c r="B729" s="263" t="s">
        <v>46</v>
      </c>
      <c r="C729" s="290">
        <v>45865</v>
      </c>
      <c r="D729" s="265"/>
      <c r="E729" s="291">
        <v>1</v>
      </c>
      <c r="F729" s="292">
        <f>+C729*E729</f>
        <v>45865</v>
      </c>
      <c r="G729" s="292"/>
      <c r="H729" s="293">
        <f>SUM(F729+G729)</f>
        <v>45865</v>
      </c>
      <c r="I729" s="265"/>
      <c r="J729" s="294">
        <f>+H729</f>
        <v>45865</v>
      </c>
      <c r="K729" s="292"/>
      <c r="L729" s="293"/>
    </row>
    <row r="730" spans="1:12" x14ac:dyDescent="0.2">
      <c r="B730" s="263"/>
      <c r="C730" s="290"/>
      <c r="D730" s="265"/>
      <c r="E730" s="291"/>
      <c r="F730" s="292"/>
      <c r="G730" s="292"/>
      <c r="H730" s="293"/>
      <c r="I730" s="265"/>
      <c r="J730" s="294"/>
      <c r="K730" s="292"/>
      <c r="L730" s="293"/>
    </row>
    <row r="731" spans="1:12" x14ac:dyDescent="0.2">
      <c r="A731" s="264">
        <v>5</v>
      </c>
      <c r="B731" s="263" t="s">
        <v>47</v>
      </c>
      <c r="C731" s="290">
        <v>42470</v>
      </c>
      <c r="D731" s="265"/>
      <c r="E731" s="291">
        <v>1</v>
      </c>
      <c r="F731" s="292">
        <f>+C731*E731</f>
        <v>42470</v>
      </c>
      <c r="G731" s="292"/>
      <c r="H731" s="293">
        <f>SUM(F731+G731)</f>
        <v>42470</v>
      </c>
      <c r="I731" s="265"/>
      <c r="J731" s="294">
        <f>+H731</f>
        <v>42470</v>
      </c>
      <c r="K731" s="292"/>
      <c r="L731" s="293"/>
    </row>
    <row r="732" spans="1:12" x14ac:dyDescent="0.2">
      <c r="B732" s="263"/>
      <c r="C732" s="290"/>
      <c r="D732" s="265"/>
      <c r="E732" s="291"/>
      <c r="F732" s="292"/>
      <c r="G732" s="292"/>
      <c r="H732" s="293"/>
      <c r="I732" s="265"/>
      <c r="J732" s="294"/>
      <c r="K732" s="292"/>
      <c r="L732" s="293"/>
    </row>
    <row r="733" spans="1:12" x14ac:dyDescent="0.2">
      <c r="A733" s="264">
        <v>6</v>
      </c>
      <c r="B733" s="263" t="s">
        <v>113</v>
      </c>
      <c r="C733" s="290">
        <v>57775</v>
      </c>
      <c r="D733" s="265"/>
      <c r="E733" s="291">
        <v>1</v>
      </c>
      <c r="F733" s="292">
        <f>+C733*E733</f>
        <v>57775</v>
      </c>
      <c r="G733" s="292"/>
      <c r="H733" s="293">
        <f>SUM(F733+G733)</f>
        <v>57775</v>
      </c>
      <c r="I733" s="265"/>
      <c r="J733" s="294">
        <f>+H733</f>
        <v>57775</v>
      </c>
      <c r="K733" s="292"/>
      <c r="L733" s="293"/>
    </row>
    <row r="734" spans="1:12" x14ac:dyDescent="0.2">
      <c r="B734" s="263"/>
      <c r="C734" s="290"/>
      <c r="D734" s="265"/>
      <c r="E734" s="291"/>
      <c r="F734" s="292"/>
      <c r="G734" s="292"/>
      <c r="H734" s="293"/>
      <c r="I734" s="265"/>
      <c r="J734" s="294"/>
      <c r="K734" s="292"/>
      <c r="L734" s="293"/>
    </row>
    <row r="735" spans="1:12" x14ac:dyDescent="0.2">
      <c r="A735" s="264">
        <v>7</v>
      </c>
      <c r="B735" s="263" t="s">
        <v>151</v>
      </c>
      <c r="C735" s="273">
        <v>42470</v>
      </c>
      <c r="D735" s="265"/>
      <c r="E735" s="322">
        <f>ROUNDDOWN(C713/100,0)</f>
        <v>1</v>
      </c>
      <c r="F735" s="292">
        <f>SUM(E735*C735)</f>
        <v>42470</v>
      </c>
      <c r="G735" s="292"/>
      <c r="H735" s="293">
        <f>SUM(F735+G735)</f>
        <v>42470</v>
      </c>
      <c r="I735" s="265"/>
      <c r="J735" s="293">
        <f>SUM(H735+I735)</f>
        <v>42470</v>
      </c>
      <c r="K735" s="296"/>
      <c r="L735" s="297"/>
    </row>
    <row r="736" spans="1:12" x14ac:dyDescent="0.2">
      <c r="B736" s="263" t="s">
        <v>199</v>
      </c>
      <c r="C736" s="273"/>
      <c r="D736" s="265"/>
      <c r="E736" s="322"/>
      <c r="F736" s="292"/>
      <c r="G736" s="292">
        <v>10200</v>
      </c>
      <c r="H736" s="293">
        <v>10200</v>
      </c>
      <c r="I736" s="265"/>
      <c r="J736" s="292">
        <v>10200</v>
      </c>
      <c r="K736" s="292"/>
      <c r="L736" s="293"/>
    </row>
    <row r="737" spans="1:12" x14ac:dyDescent="0.2">
      <c r="A737" s="264">
        <v>8</v>
      </c>
      <c r="B737" s="263" t="s">
        <v>50</v>
      </c>
      <c r="C737" s="290">
        <v>15000</v>
      </c>
      <c r="D737" s="265"/>
      <c r="E737" s="291"/>
      <c r="F737" s="292"/>
      <c r="G737" s="292">
        <f>+C737</f>
        <v>15000</v>
      </c>
      <c r="H737" s="293">
        <f>SUM(F737+G737)</f>
        <v>15000</v>
      </c>
      <c r="I737" s="265"/>
      <c r="J737" s="323">
        <f>+H737</f>
        <v>15000</v>
      </c>
      <c r="K737" s="292"/>
      <c r="L737" s="293"/>
    </row>
    <row r="738" spans="1:12" x14ac:dyDescent="0.2">
      <c r="B738" s="263"/>
      <c r="C738" s="290"/>
      <c r="D738" s="265"/>
      <c r="E738" s="291"/>
      <c r="F738" s="292"/>
      <c r="G738" s="292"/>
      <c r="H738" s="293"/>
      <c r="I738" s="265"/>
      <c r="J738" s="323"/>
      <c r="K738" s="292"/>
      <c r="L738" s="293"/>
    </row>
    <row r="739" spans="1:12" x14ac:dyDescent="0.2">
      <c r="A739" s="264">
        <v>9</v>
      </c>
      <c r="B739" s="263" t="s">
        <v>51</v>
      </c>
      <c r="C739" s="290">
        <v>30000</v>
      </c>
      <c r="D739" s="265"/>
      <c r="E739" s="291"/>
      <c r="F739" s="292"/>
      <c r="G739" s="292">
        <f>+C739</f>
        <v>30000</v>
      </c>
      <c r="H739" s="293">
        <f>SUM(F739+G739)</f>
        <v>30000</v>
      </c>
      <c r="I739" s="265"/>
      <c r="J739" s="323">
        <f>+H739</f>
        <v>30000</v>
      </c>
      <c r="K739" s="292"/>
      <c r="L739" s="293"/>
    </row>
    <row r="740" spans="1:12" x14ac:dyDescent="0.2">
      <c r="B740" s="263"/>
      <c r="C740" s="290"/>
      <c r="D740" s="265"/>
      <c r="E740" s="291"/>
      <c r="F740" s="292"/>
      <c r="G740" s="292"/>
      <c r="H740" s="293"/>
      <c r="I740" s="265"/>
      <c r="J740" s="323"/>
      <c r="K740" s="292"/>
      <c r="L740" s="293"/>
    </row>
    <row r="741" spans="1:12" x14ac:dyDescent="0.2">
      <c r="A741" s="264">
        <v>10</v>
      </c>
      <c r="B741" s="263" t="s">
        <v>52</v>
      </c>
      <c r="C741" s="290">
        <v>40000</v>
      </c>
      <c r="D741" s="265"/>
      <c r="E741" s="291"/>
      <c r="F741" s="292"/>
      <c r="G741" s="292">
        <f>+C741</f>
        <v>40000</v>
      </c>
      <c r="H741" s="293">
        <f>SUM(F741+G741)</f>
        <v>40000</v>
      </c>
      <c r="I741" s="265"/>
      <c r="J741" s="323">
        <f>+H741</f>
        <v>40000</v>
      </c>
      <c r="K741" s="292"/>
      <c r="L741" s="293"/>
    </row>
    <row r="742" spans="1:12" x14ac:dyDescent="0.2">
      <c r="B742" s="263"/>
      <c r="C742" s="290"/>
      <c r="D742" s="265"/>
      <c r="E742" s="291"/>
      <c r="F742" s="292"/>
      <c r="G742" s="292"/>
      <c r="H742" s="293"/>
      <c r="I742" s="265"/>
      <c r="J742" s="294"/>
      <c r="K742" s="292"/>
      <c r="L742" s="293"/>
    </row>
    <row r="743" spans="1:12" x14ac:dyDescent="0.2">
      <c r="A743" s="264">
        <v>11</v>
      </c>
      <c r="B743" s="263" t="s">
        <v>53</v>
      </c>
      <c r="C743" s="290"/>
      <c r="D743" s="265"/>
      <c r="E743" s="291"/>
      <c r="F743" s="292"/>
      <c r="G743" s="292">
        <f>ROUND((F725+F727+F729+F731+F733+F745+F749+F751+F756+F758+F760+F762+F735+F764+F753)*0.15,0)</f>
        <v>574452</v>
      </c>
      <c r="H743" s="293">
        <f>SUM(G743)</f>
        <v>574452</v>
      </c>
      <c r="I743" s="265"/>
      <c r="J743" s="323">
        <f>ROUND((SUM(F725:F735)*0.15),0)</f>
        <v>52215</v>
      </c>
      <c r="K743" s="324">
        <f>ROUND(SUM(F745:F760,F762)*0.15,0)</f>
        <v>436438</v>
      </c>
      <c r="L743" s="325">
        <f>ROUND(F764*0.15,0)</f>
        <v>85799</v>
      </c>
    </row>
    <row r="744" spans="1:12" x14ac:dyDescent="0.2">
      <c r="B744" s="263"/>
      <c r="C744" s="290"/>
      <c r="D744" s="265"/>
      <c r="E744" s="291"/>
      <c r="F744" s="292"/>
      <c r="G744" s="292"/>
      <c r="H744" s="293"/>
      <c r="I744" s="265"/>
      <c r="J744" s="294"/>
      <c r="K744" s="296"/>
      <c r="L744" s="297"/>
    </row>
    <row r="745" spans="1:12" x14ac:dyDescent="0.2">
      <c r="A745" s="264">
        <v>12</v>
      </c>
      <c r="B745" s="263" t="s">
        <v>54</v>
      </c>
      <c r="C745" s="290"/>
      <c r="D745" s="265"/>
      <c r="E745" s="291"/>
      <c r="F745" s="292">
        <f>(F725+F727+F729+F731+F749+F733+F751++F756+F758+F760+F764+F735+F762+F753)*0.2045</f>
        <v>650202.63749999995</v>
      </c>
      <c r="G745" s="292"/>
      <c r="H745" s="293">
        <f>(F725+F727+F729+F731+F733+F749+F751+F756+F758+F760+F764+F735+F762+F753)*0.2045</f>
        <v>650202.63749999995</v>
      </c>
      <c r="I745" s="265"/>
      <c r="J745" s="323">
        <f>ROUND((SUM(F725:F735)*0.2045),0)</f>
        <v>71186</v>
      </c>
      <c r="K745" s="324">
        <f>ROUND((SUM(F749:F762)*0.2045),0)</f>
        <v>462044</v>
      </c>
      <c r="L745" s="325">
        <f>ROUND(F764*0.2045,0)</f>
        <v>116973</v>
      </c>
    </row>
    <row r="746" spans="1:12" x14ac:dyDescent="0.2">
      <c r="B746" s="263"/>
      <c r="C746" s="290"/>
      <c r="D746" s="265"/>
      <c r="E746" s="291"/>
      <c r="F746" s="292"/>
      <c r="G746" s="292"/>
      <c r="H746" s="293"/>
      <c r="I746" s="265"/>
      <c r="J746" s="294"/>
      <c r="K746" s="296"/>
      <c r="L746" s="297"/>
    </row>
    <row r="747" spans="1:12" x14ac:dyDescent="0.2">
      <c r="A747" s="264">
        <v>13</v>
      </c>
      <c r="B747" s="263" t="s">
        <v>55</v>
      </c>
      <c r="C747" s="290">
        <v>2000</v>
      </c>
      <c r="D747" s="265"/>
      <c r="E747" s="291"/>
      <c r="F747" s="292"/>
      <c r="G747" s="292">
        <f>E772*2000</f>
        <v>92000</v>
      </c>
      <c r="H747" s="293">
        <f t="shared" ref="H747" si="88">SUM(F747+G747)</f>
        <v>92000</v>
      </c>
      <c r="I747" s="265"/>
      <c r="J747" s="294">
        <f>(E725+E727+E729+E731+E733+E735)*2000</f>
        <v>12000</v>
      </c>
      <c r="K747" s="296">
        <f>ROUND(SUM(E751,E756,E758,E760,E762,E753)*2000,0)</f>
        <v>62000</v>
      </c>
      <c r="L747" s="297">
        <f>ROUND(E764*2000,0)</f>
        <v>18000</v>
      </c>
    </row>
    <row r="748" spans="1:12" x14ac:dyDescent="0.2">
      <c r="B748" s="263"/>
      <c r="C748" s="290"/>
      <c r="D748" s="265"/>
      <c r="E748" s="291"/>
      <c r="F748" s="292"/>
      <c r="G748" s="292"/>
      <c r="H748" s="293"/>
      <c r="I748" s="265"/>
      <c r="J748" s="294"/>
      <c r="K748" s="296"/>
      <c r="L748" s="297"/>
    </row>
    <row r="749" spans="1:12" ht="51.75" customHeight="1" x14ac:dyDescent="0.2">
      <c r="A749" s="264">
        <v>14</v>
      </c>
      <c r="B749" s="263" t="s">
        <v>114</v>
      </c>
      <c r="C749" s="290"/>
      <c r="D749" s="265"/>
      <c r="E749" s="291"/>
      <c r="F749" s="292">
        <f>(F756+F760+F762+F751+F753+F764+F758)*0.1</f>
        <v>257398</v>
      </c>
      <c r="G749" s="292"/>
      <c r="H749" s="293">
        <f>SUM(F749+G749)</f>
        <v>257398</v>
      </c>
      <c r="I749" s="265"/>
      <c r="J749" s="294"/>
      <c r="K749" s="296">
        <f>ROUND((+F751+F756+F760+F762+F753+F758)*0.1,0)</f>
        <v>200199</v>
      </c>
      <c r="L749" s="297">
        <f>ROUND(F764*0.1,0)</f>
        <v>57200</v>
      </c>
    </row>
    <row r="750" spans="1:12" x14ac:dyDescent="0.2">
      <c r="B750" s="263"/>
      <c r="C750" s="290"/>
      <c r="D750" s="265"/>
      <c r="E750" s="291"/>
      <c r="F750" s="292"/>
      <c r="G750" s="292"/>
      <c r="H750" s="293"/>
      <c r="I750" s="265"/>
      <c r="J750" s="294"/>
      <c r="K750" s="292"/>
      <c r="L750" s="293"/>
    </row>
    <row r="751" spans="1:12" x14ac:dyDescent="0.2">
      <c r="A751" s="264">
        <v>15</v>
      </c>
      <c r="B751" s="263" t="s">
        <v>57</v>
      </c>
      <c r="C751" s="290">
        <v>69911</v>
      </c>
      <c r="D751" s="265"/>
      <c r="E751" s="326">
        <f>ROUND((E764+E760+E758+E756+E762+E753)/6,0)</f>
        <v>6</v>
      </c>
      <c r="F751" s="292">
        <f>F717*E751</f>
        <v>381330</v>
      </c>
      <c r="G751" s="292"/>
      <c r="H751" s="293">
        <f t="shared" ref="H751" si="89">SUM(F751+G751)</f>
        <v>381330</v>
      </c>
      <c r="I751" s="265"/>
      <c r="J751" s="291"/>
      <c r="K751" s="296">
        <f>ROUND(F751*((+E$49+E$51+E$53)/(E$49+E$51+E$53+E$55)),0)</f>
        <v>240208</v>
      </c>
      <c r="L751" s="297">
        <f>ROUND((+F751*(E$55/(+E$49+E$51+E$53+E$55))),0)</f>
        <v>141122</v>
      </c>
    </row>
    <row r="752" spans="1:12" x14ac:dyDescent="0.2">
      <c r="B752" s="263"/>
      <c r="C752" s="290"/>
      <c r="D752" s="265"/>
      <c r="E752" s="291"/>
      <c r="F752" s="292"/>
      <c r="G752" s="292"/>
      <c r="H752" s="293"/>
      <c r="I752" s="265"/>
      <c r="J752" s="294"/>
      <c r="K752" s="292"/>
      <c r="L752" s="293"/>
    </row>
    <row r="753" spans="1:12" x14ac:dyDescent="0.2">
      <c r="A753" s="301">
        <v>16</v>
      </c>
      <c r="B753" s="301" t="s">
        <v>160</v>
      </c>
      <c r="C753" s="290">
        <v>42470</v>
      </c>
      <c r="D753" s="265"/>
      <c r="E753" s="326">
        <f>ROUNDUP((E764+E760+E758+E756+E762)/6,0)</f>
        <v>5</v>
      </c>
      <c r="F753" s="327">
        <f>F718*E753</f>
        <v>349555</v>
      </c>
      <c r="H753" s="293">
        <f t="shared" ref="H753" si="90">SUM(F753+G753)</f>
        <v>349555</v>
      </c>
      <c r="I753" s="265"/>
      <c r="J753" s="294"/>
      <c r="K753" s="296">
        <f>ROUND(F753*((+E$49+E$51+E$53)/(E$49+E$51+E$53+E$55)),0)</f>
        <v>220192</v>
      </c>
      <c r="L753" s="297">
        <f>ROUND((+F753*(E$55/(+E$49+E$51+E$53+E$55))),0)</f>
        <v>129363</v>
      </c>
    </row>
    <row r="754" spans="1:12" x14ac:dyDescent="0.2">
      <c r="B754" s="263"/>
      <c r="C754" s="290"/>
      <c r="D754" s="265"/>
      <c r="E754" s="291"/>
      <c r="F754" s="292"/>
      <c r="G754" s="292"/>
      <c r="H754" s="293"/>
      <c r="I754" s="265"/>
      <c r="J754" s="294"/>
      <c r="K754" s="292"/>
      <c r="L754" s="293"/>
    </row>
    <row r="755" spans="1:12" ht="15.75" x14ac:dyDescent="0.25">
      <c r="A755" s="282" t="s">
        <v>115</v>
      </c>
      <c r="B755" s="263"/>
      <c r="C755" s="290"/>
      <c r="D755" s="265"/>
      <c r="E755" s="291"/>
      <c r="F755" s="292"/>
      <c r="G755" s="292"/>
      <c r="H755" s="293"/>
      <c r="I755" s="265"/>
      <c r="J755" s="294"/>
      <c r="K755" s="292"/>
      <c r="L755" s="293"/>
    </row>
    <row r="756" spans="1:12" x14ac:dyDescent="0.2">
      <c r="A756" s="300">
        <v>17</v>
      </c>
      <c r="B756" s="301" t="s">
        <v>60</v>
      </c>
      <c r="C756" s="302">
        <v>63555</v>
      </c>
      <c r="D756" s="303"/>
      <c r="E756" s="304">
        <f>ROUND(C713/30,0)</f>
        <v>6</v>
      </c>
      <c r="F756" s="305">
        <f>F717*E756</f>
        <v>381330</v>
      </c>
      <c r="G756" s="305"/>
      <c r="H756" s="293">
        <f>SUM(F756)</f>
        <v>381330</v>
      </c>
      <c r="I756" s="303"/>
      <c r="J756" s="306"/>
      <c r="K756" s="292">
        <f>SUM(E756*F717)</f>
        <v>381330</v>
      </c>
      <c r="L756" s="293"/>
    </row>
    <row r="757" spans="1:12" x14ac:dyDescent="0.2">
      <c r="A757" s="301"/>
      <c r="B757" s="301"/>
      <c r="C757" s="290"/>
      <c r="D757" s="265"/>
      <c r="E757" s="291"/>
      <c r="F757" s="292"/>
      <c r="G757" s="292"/>
      <c r="H757" s="293"/>
      <c r="I757" s="265"/>
      <c r="J757" s="294"/>
      <c r="K757" s="292"/>
      <c r="L757" s="293"/>
    </row>
    <row r="758" spans="1:12" ht="30" x14ac:dyDescent="0.2">
      <c r="A758" s="300">
        <v>18</v>
      </c>
      <c r="B758" s="301" t="s">
        <v>61</v>
      </c>
      <c r="C758" s="290">
        <v>63555</v>
      </c>
      <c r="D758" s="265"/>
      <c r="E758" s="291">
        <v>1</v>
      </c>
      <c r="F758" s="292">
        <f>F717*E758</f>
        <v>63555</v>
      </c>
      <c r="G758" s="292"/>
      <c r="H758" s="293">
        <f t="shared" ref="H758" si="91">SUM(F758+G758)</f>
        <v>63555</v>
      </c>
      <c r="I758" s="265"/>
      <c r="J758" s="294" t="s">
        <v>62</v>
      </c>
      <c r="K758" s="292">
        <f>SUM(E758*F717)</f>
        <v>63555</v>
      </c>
      <c r="L758" s="293"/>
    </row>
    <row r="759" spans="1:12" x14ac:dyDescent="0.2">
      <c r="A759" s="301"/>
      <c r="B759" s="301"/>
      <c r="C759" s="290"/>
      <c r="D759" s="265"/>
      <c r="E759" s="291"/>
      <c r="F759" s="292"/>
      <c r="G759" s="292"/>
      <c r="H759" s="293"/>
      <c r="I759" s="265"/>
      <c r="J759" s="294"/>
      <c r="K759" s="292"/>
      <c r="L759" s="293"/>
    </row>
    <row r="760" spans="1:12" x14ac:dyDescent="0.2">
      <c r="A760" s="301">
        <v>19</v>
      </c>
      <c r="B760" s="301" t="s">
        <v>63</v>
      </c>
      <c r="C760" s="290">
        <v>63555</v>
      </c>
      <c r="D760" s="265"/>
      <c r="E760" s="291">
        <f>ROUND(C713/20,0)</f>
        <v>9</v>
      </c>
      <c r="F760" s="292">
        <f>F717*E760</f>
        <v>571995</v>
      </c>
      <c r="G760" s="292"/>
      <c r="H760" s="293">
        <f t="shared" ref="H760" si="92">SUM(F760+G760)</f>
        <v>571995</v>
      </c>
      <c r="I760" s="265"/>
      <c r="J760" s="294"/>
      <c r="K760" s="292">
        <f>SUM(E760*F717)</f>
        <v>571995</v>
      </c>
      <c r="L760" s="293"/>
    </row>
    <row r="761" spans="1:12" x14ac:dyDescent="0.2">
      <c r="A761" s="301"/>
      <c r="B761" s="301"/>
      <c r="C761" s="290"/>
      <c r="D761" s="265"/>
      <c r="E761" s="291"/>
      <c r="F761" s="292"/>
      <c r="G761" s="292"/>
      <c r="H761" s="293"/>
      <c r="I761" s="265"/>
      <c r="J761" s="294"/>
      <c r="K761" s="292"/>
      <c r="L761" s="293"/>
    </row>
    <row r="762" spans="1:12" x14ac:dyDescent="0.2">
      <c r="A762" s="301">
        <v>20</v>
      </c>
      <c r="B762" s="301" t="s">
        <v>111</v>
      </c>
      <c r="C762" s="290">
        <v>63555</v>
      </c>
      <c r="D762" s="265"/>
      <c r="E762" s="328">
        <f>ROUNDDOWN(C713/40,0)</f>
        <v>4</v>
      </c>
      <c r="F762" s="292">
        <f>F717*E762</f>
        <v>254220</v>
      </c>
      <c r="G762" s="292"/>
      <c r="H762" s="293">
        <f t="shared" ref="H762" si="93">SUM(F762+G762)</f>
        <v>254220</v>
      </c>
      <c r="I762" s="290"/>
      <c r="K762" s="265">
        <f>SUM(E762*F717)</f>
        <v>254220</v>
      </c>
      <c r="L762" s="329"/>
    </row>
    <row r="763" spans="1:12" x14ac:dyDescent="0.2">
      <c r="A763" s="301"/>
      <c r="B763" s="301"/>
      <c r="C763" s="290"/>
      <c r="D763" s="265"/>
      <c r="E763" s="291"/>
      <c r="F763" s="292"/>
      <c r="G763" s="292"/>
      <c r="H763" s="293"/>
      <c r="I763" s="290"/>
      <c r="L763" s="329"/>
    </row>
    <row r="764" spans="1:12" x14ac:dyDescent="0.2">
      <c r="A764" s="301">
        <v>21</v>
      </c>
      <c r="B764" s="301" t="s">
        <v>112</v>
      </c>
      <c r="C764" s="290">
        <v>63555</v>
      </c>
      <c r="D764" s="265"/>
      <c r="E764" s="328">
        <f>ROUND(C713/20,0)</f>
        <v>9</v>
      </c>
      <c r="F764" s="356">
        <f>SUM(E764*F717)</f>
        <v>571995</v>
      </c>
      <c r="H764" s="293">
        <f t="shared" ref="H764" si="94">SUM(F764+G764)</f>
        <v>571995</v>
      </c>
      <c r="I764" s="290"/>
      <c r="K764" s="265"/>
      <c r="L764" s="293">
        <f>SUM(H764)</f>
        <v>571995</v>
      </c>
    </row>
    <row r="765" spans="1:12" x14ac:dyDescent="0.2">
      <c r="A765" s="301"/>
      <c r="B765" s="301"/>
      <c r="C765" s="290"/>
      <c r="D765" s="265"/>
      <c r="E765" s="291"/>
      <c r="F765" s="292"/>
      <c r="H765" s="293"/>
      <c r="I765" s="290"/>
      <c r="L765" s="329"/>
    </row>
    <row r="766" spans="1:12" x14ac:dyDescent="0.2">
      <c r="A766" s="301">
        <v>22</v>
      </c>
      <c r="B766" s="301" t="s">
        <v>155</v>
      </c>
      <c r="C766" s="295"/>
      <c r="D766" s="307"/>
      <c r="E766" s="291"/>
      <c r="F766" s="292"/>
      <c r="G766" s="292">
        <f>ROUND(175*C712,0)</f>
        <v>505575</v>
      </c>
      <c r="H766" s="293">
        <f t="shared" ref="H766" si="95">SUM(F766+G766)</f>
        <v>505575</v>
      </c>
      <c r="I766" s="265"/>
      <c r="J766" s="294" t="s">
        <v>62</v>
      </c>
      <c r="K766" s="292">
        <f>ROUND(175/2*C712,0)</f>
        <v>252788</v>
      </c>
      <c r="L766" s="293">
        <f>ROUND(175/2*C712,0)</f>
        <v>252788</v>
      </c>
    </row>
    <row r="767" spans="1:12" x14ac:dyDescent="0.2">
      <c r="A767" s="301"/>
      <c r="B767" s="301"/>
      <c r="C767" s="290"/>
      <c r="D767" s="265"/>
      <c r="E767" s="291"/>
      <c r="F767" s="292"/>
      <c r="G767" s="292"/>
      <c r="H767" s="293"/>
      <c r="I767" s="265"/>
      <c r="J767" s="294"/>
      <c r="K767" s="292"/>
      <c r="L767" s="293"/>
    </row>
    <row r="768" spans="1:12" x14ac:dyDescent="0.2">
      <c r="A768" s="301">
        <v>23</v>
      </c>
      <c r="B768" s="301" t="s">
        <v>66</v>
      </c>
      <c r="C768" s="290">
        <v>11500</v>
      </c>
      <c r="D768" s="265"/>
      <c r="E768" s="291"/>
      <c r="F768" s="292"/>
      <c r="G768" s="292">
        <f>(E725+E751+E762+E756+E758+E760+E764+E753)*11500</f>
        <v>471500</v>
      </c>
      <c r="H768" s="293">
        <f>SUM(F768:G768)</f>
        <v>471500</v>
      </c>
      <c r="I768" s="265"/>
      <c r="J768" s="323">
        <f>ROUND(11500*E725,0)</f>
        <v>11500</v>
      </c>
      <c r="K768" s="296">
        <f>(ROUND(11500*(+E760+E758+E756+E762+E751+E753),0))</f>
        <v>356500</v>
      </c>
      <c r="L768" s="297">
        <f>ROUND(11500*E764,0)</f>
        <v>103500</v>
      </c>
    </row>
    <row r="769" spans="1:12" x14ac:dyDescent="0.2">
      <c r="A769" s="301"/>
      <c r="B769" s="301"/>
      <c r="C769" s="290"/>
      <c r="D769" s="265"/>
      <c r="E769" s="291"/>
      <c r="G769" s="292"/>
      <c r="H769" s="293"/>
      <c r="J769" s="294"/>
      <c r="K769" s="296"/>
      <c r="L769" s="297"/>
    </row>
    <row r="770" spans="1:12" x14ac:dyDescent="0.2">
      <c r="A770" s="301">
        <v>24</v>
      </c>
      <c r="B770" s="301" t="s">
        <v>82</v>
      </c>
      <c r="C770" s="290"/>
      <c r="D770" s="265"/>
      <c r="E770" s="291"/>
      <c r="G770" s="292">
        <v>264500</v>
      </c>
      <c r="H770" s="293">
        <f t="shared" ref="H770" si="96">SUM(F770+G770)</f>
        <v>264500</v>
      </c>
      <c r="I770" s="330"/>
      <c r="J770" s="292"/>
      <c r="K770" s="296"/>
      <c r="L770" s="297">
        <f>+H770</f>
        <v>264500</v>
      </c>
    </row>
    <row r="771" spans="1:12" ht="15.75" thickBot="1" x14ac:dyDescent="0.25">
      <c r="B771" s="331"/>
      <c r="C771" s="332"/>
      <c r="D771" s="265"/>
      <c r="E771" s="291"/>
      <c r="H771" s="293"/>
      <c r="I771" s="333"/>
      <c r="J771" s="265"/>
      <c r="L771" s="293"/>
    </row>
    <row r="772" spans="1:12" ht="16.5" thickBot="1" x14ac:dyDescent="0.3">
      <c r="B772" s="334" t="s">
        <v>67</v>
      </c>
      <c r="C772" s="335"/>
      <c r="D772" s="336"/>
      <c r="E772" s="337">
        <f>SUM(E722:E771)</f>
        <v>46</v>
      </c>
      <c r="F772" s="336">
        <f>SUM(F722:F770)</f>
        <v>3829677.6375000002</v>
      </c>
      <c r="G772" s="336">
        <f>SUM(G723:G770)</f>
        <v>2053227</v>
      </c>
      <c r="H772" s="338">
        <f>SUM(H723:H771)</f>
        <v>5882904.6375000002</v>
      </c>
      <c r="I772" s="336"/>
      <c r="J772" s="339">
        <f>SUM(J723:J770)</f>
        <v>570287</v>
      </c>
      <c r="K772" s="336">
        <f>SUM(K723:K771)</f>
        <v>3501469</v>
      </c>
      <c r="L772" s="340">
        <f>SUM(L722:L771)</f>
        <v>1811151</v>
      </c>
    </row>
    <row r="773" spans="1:12" ht="15.75" x14ac:dyDescent="0.25">
      <c r="B773" s="272"/>
      <c r="C773" s="271"/>
      <c r="D773" s="271"/>
      <c r="E773" s="274"/>
      <c r="J773" s="265"/>
      <c r="K773" s="265"/>
      <c r="L773" s="347"/>
    </row>
    <row r="774" spans="1:12" ht="15.75" x14ac:dyDescent="0.25">
      <c r="B774" s="318"/>
      <c r="C774" s="271"/>
      <c r="D774" s="271"/>
      <c r="E774" s="274"/>
      <c r="J774" s="265"/>
      <c r="K774" s="265"/>
      <c r="L774" s="347"/>
    </row>
    <row r="775" spans="1:12" ht="15.75" x14ac:dyDescent="0.25">
      <c r="C775" s="272"/>
      <c r="D775" s="272"/>
      <c r="E775" s="274"/>
      <c r="L775" s="347"/>
    </row>
    <row r="777" spans="1:12" x14ac:dyDescent="0.2">
      <c r="A777" s="262"/>
      <c r="B777" s="263"/>
    </row>
    <row r="778" spans="1:12" ht="15.75" x14ac:dyDescent="0.25">
      <c r="A778" s="266" t="s">
        <v>24</v>
      </c>
      <c r="B778" s="267"/>
      <c r="C778" s="320" t="s">
        <v>94</v>
      </c>
    </row>
    <row r="779" spans="1:12" ht="15.75" x14ac:dyDescent="0.25">
      <c r="A779" s="266" t="s">
        <v>106</v>
      </c>
      <c r="B779" s="263"/>
    </row>
    <row r="780" spans="1:12" x14ac:dyDescent="0.2">
      <c r="B780" s="263"/>
      <c r="C780" s="268"/>
      <c r="D780" s="268"/>
    </row>
    <row r="781" spans="1:12" x14ac:dyDescent="0.2">
      <c r="B781" s="263"/>
      <c r="C781" s="269"/>
      <c r="D781" s="269"/>
      <c r="F781" s="262"/>
    </row>
    <row r="782" spans="1:12" ht="15.75" x14ac:dyDescent="0.25">
      <c r="A782" s="264" t="s">
        <v>27</v>
      </c>
      <c r="B782" s="263"/>
      <c r="C782" s="270">
        <v>762</v>
      </c>
      <c r="D782" s="270" t="s">
        <v>79</v>
      </c>
      <c r="E782" s="271"/>
    </row>
    <row r="783" spans="1:12" ht="15.75" x14ac:dyDescent="0.25">
      <c r="A783" s="264" t="s">
        <v>28</v>
      </c>
      <c r="B783" s="263"/>
      <c r="C783" s="270">
        <v>45.72</v>
      </c>
      <c r="D783" s="268"/>
      <c r="E783" s="271"/>
    </row>
    <row r="784" spans="1:12" ht="15.75" x14ac:dyDescent="0.25">
      <c r="A784" s="264" t="s">
        <v>29</v>
      </c>
      <c r="B784" s="263"/>
      <c r="C784" s="270">
        <v>50.800000000000004</v>
      </c>
      <c r="D784" s="270"/>
      <c r="E784" s="271"/>
    </row>
    <row r="785" spans="1:12" ht="15.75" x14ac:dyDescent="0.25">
      <c r="B785" s="263" t="s">
        <v>30</v>
      </c>
      <c r="C785" s="270">
        <v>1</v>
      </c>
      <c r="D785" s="268"/>
      <c r="E785" s="271"/>
    </row>
    <row r="786" spans="1:12" x14ac:dyDescent="0.2">
      <c r="B786" s="263"/>
    </row>
    <row r="787" spans="1:12" x14ac:dyDescent="0.2">
      <c r="A787" s="271" t="s">
        <v>107</v>
      </c>
      <c r="B787" s="272"/>
      <c r="D787" s="273"/>
      <c r="F787" s="273">
        <v>63555</v>
      </c>
      <c r="I787" s="265"/>
    </row>
    <row r="788" spans="1:12" x14ac:dyDescent="0.2">
      <c r="A788" s="271" t="s">
        <v>108</v>
      </c>
      <c r="B788" s="272"/>
      <c r="D788" s="273"/>
      <c r="F788" s="273">
        <v>69911</v>
      </c>
      <c r="I788" s="265"/>
    </row>
    <row r="789" spans="1:12" x14ac:dyDescent="0.2">
      <c r="A789" s="271" t="s">
        <v>109</v>
      </c>
      <c r="B789" s="272"/>
      <c r="D789" s="273"/>
      <c r="F789" s="273">
        <v>42470</v>
      </c>
      <c r="I789" s="265"/>
    </row>
    <row r="790" spans="1:12" x14ac:dyDescent="0.2">
      <c r="A790" s="271"/>
      <c r="B790" s="272"/>
      <c r="C790" s="274"/>
      <c r="D790" s="274"/>
      <c r="I790" s="265"/>
    </row>
    <row r="791" spans="1:12" ht="15.75" x14ac:dyDescent="0.25">
      <c r="B791" s="263"/>
      <c r="J791" s="275" t="s">
        <v>34</v>
      </c>
      <c r="K791" s="419" t="s">
        <v>35</v>
      </c>
      <c r="L791" s="420"/>
    </row>
    <row r="792" spans="1:12" ht="15.75" x14ac:dyDescent="0.25">
      <c r="A792" s="266" t="s">
        <v>36</v>
      </c>
      <c r="B792" s="276"/>
      <c r="C792" s="277" t="s">
        <v>80</v>
      </c>
      <c r="D792" s="278"/>
      <c r="E792" s="275" t="s">
        <v>38</v>
      </c>
      <c r="F792" s="275" t="s">
        <v>39</v>
      </c>
      <c r="G792" s="275" t="s">
        <v>40</v>
      </c>
      <c r="H792" s="279" t="s">
        <v>0</v>
      </c>
      <c r="I792" s="280"/>
      <c r="J792" s="277" t="s">
        <v>41</v>
      </c>
      <c r="K792" s="281" t="s">
        <v>42</v>
      </c>
      <c r="L792" s="275" t="s">
        <v>43</v>
      </c>
    </row>
    <row r="793" spans="1:12" ht="15.75" x14ac:dyDescent="0.25">
      <c r="A793" s="282"/>
      <c r="B793" s="276"/>
      <c r="C793" s="283"/>
      <c r="D793" s="278"/>
      <c r="E793" s="284"/>
      <c r="F793" s="285"/>
      <c r="G793" s="285"/>
      <c r="H793" s="286"/>
      <c r="I793" s="280"/>
      <c r="J793" s="287"/>
      <c r="K793" s="288"/>
      <c r="L793" s="289"/>
    </row>
    <row r="794" spans="1:12" x14ac:dyDescent="0.2">
      <c r="A794" s="264">
        <v>1</v>
      </c>
      <c r="B794" s="263" t="s">
        <v>44</v>
      </c>
      <c r="C794" s="290">
        <v>50000</v>
      </c>
      <c r="D794" s="265"/>
      <c r="E794" s="291"/>
      <c r="F794" s="292"/>
      <c r="G794" s="292">
        <f>+C794</f>
        <v>50000</v>
      </c>
      <c r="H794" s="293">
        <f>SUM(F794+G794)</f>
        <v>50000</v>
      </c>
      <c r="I794" s="265"/>
      <c r="J794" s="294">
        <f>+H794</f>
        <v>50000</v>
      </c>
      <c r="K794" s="292"/>
      <c r="L794" s="293"/>
    </row>
    <row r="795" spans="1:12" x14ac:dyDescent="0.2">
      <c r="B795" s="263"/>
      <c r="C795" s="290"/>
      <c r="D795" s="265"/>
      <c r="E795" s="291"/>
      <c r="F795" s="292"/>
      <c r="G795" s="292"/>
      <c r="H795" s="293"/>
      <c r="I795" s="265"/>
      <c r="J795" s="294"/>
      <c r="K795" s="292"/>
      <c r="L795" s="293"/>
    </row>
    <row r="796" spans="1:12" x14ac:dyDescent="0.2">
      <c r="A796" s="264">
        <v>2</v>
      </c>
      <c r="B796" s="263" t="s">
        <v>45</v>
      </c>
      <c r="C796" s="290">
        <v>89606</v>
      </c>
      <c r="D796" s="265"/>
      <c r="E796" s="291">
        <v>1</v>
      </c>
      <c r="F796" s="292">
        <f>+C796*E796</f>
        <v>89606</v>
      </c>
      <c r="G796" s="292"/>
      <c r="H796" s="293">
        <f>SUM(F796+G796)</f>
        <v>89606</v>
      </c>
      <c r="I796" s="265"/>
      <c r="J796" s="294">
        <f>+H796</f>
        <v>89606</v>
      </c>
      <c r="K796" s="292"/>
      <c r="L796" s="293"/>
    </row>
    <row r="797" spans="1:12" x14ac:dyDescent="0.2">
      <c r="B797" s="263"/>
      <c r="C797" s="290"/>
      <c r="D797" s="265"/>
      <c r="E797" s="291"/>
      <c r="F797" s="292"/>
      <c r="G797" s="292"/>
      <c r="H797" s="293"/>
      <c r="I797" s="265"/>
      <c r="J797" s="294"/>
      <c r="K797" s="292"/>
      <c r="L797" s="293"/>
    </row>
    <row r="798" spans="1:12" x14ac:dyDescent="0.2">
      <c r="A798" s="264">
        <v>3</v>
      </c>
      <c r="B798" s="301" t="s">
        <v>176</v>
      </c>
      <c r="C798" s="290">
        <v>69911</v>
      </c>
      <c r="D798" s="265"/>
      <c r="E798" s="291">
        <v>1</v>
      </c>
      <c r="F798" s="292">
        <f>+C798*E798</f>
        <v>69911</v>
      </c>
      <c r="G798" s="292"/>
      <c r="H798" s="293">
        <f>SUM(F798+G798)</f>
        <v>69911</v>
      </c>
      <c r="I798" s="265"/>
      <c r="J798" s="294"/>
      <c r="K798" s="292"/>
      <c r="L798" s="293">
        <f>$H$92</f>
        <v>69911</v>
      </c>
    </row>
    <row r="799" spans="1:12" x14ac:dyDescent="0.2">
      <c r="B799" s="263"/>
      <c r="C799" s="290"/>
      <c r="D799" s="265"/>
      <c r="E799" s="291"/>
      <c r="F799" s="292"/>
      <c r="G799" s="292"/>
      <c r="H799" s="293"/>
      <c r="I799" s="265"/>
      <c r="J799" s="294"/>
      <c r="K799" s="292"/>
      <c r="L799" s="293"/>
    </row>
    <row r="800" spans="1:12" x14ac:dyDescent="0.2">
      <c r="A800" s="264">
        <v>4</v>
      </c>
      <c r="B800" s="263" t="s">
        <v>46</v>
      </c>
      <c r="C800" s="290">
        <v>45865</v>
      </c>
      <c r="D800" s="265"/>
      <c r="E800" s="291">
        <v>1</v>
      </c>
      <c r="F800" s="292">
        <f>+C800*E800</f>
        <v>45865</v>
      </c>
      <c r="G800" s="292"/>
      <c r="H800" s="293">
        <f>SUM(F800+G800)</f>
        <v>45865</v>
      </c>
      <c r="I800" s="265"/>
      <c r="J800" s="294">
        <f>+H800</f>
        <v>45865</v>
      </c>
      <c r="K800" s="292"/>
      <c r="L800" s="293"/>
    </row>
    <row r="801" spans="1:12" x14ac:dyDescent="0.2">
      <c r="B801" s="263"/>
      <c r="C801" s="290"/>
      <c r="D801" s="265"/>
      <c r="E801" s="291"/>
      <c r="F801" s="292"/>
      <c r="G801" s="292"/>
      <c r="H801" s="293"/>
      <c r="I801" s="265"/>
      <c r="J801" s="294"/>
      <c r="K801" s="292"/>
      <c r="L801" s="293"/>
    </row>
    <row r="802" spans="1:12" x14ac:dyDescent="0.2">
      <c r="A802" s="264">
        <v>5</v>
      </c>
      <c r="B802" s="263" t="s">
        <v>47</v>
      </c>
      <c r="C802" s="290">
        <v>42470</v>
      </c>
      <c r="D802" s="265"/>
      <c r="E802" s="291">
        <v>1</v>
      </c>
      <c r="F802" s="292">
        <f>+C802*E802</f>
        <v>42470</v>
      </c>
      <c r="G802" s="292"/>
      <c r="H802" s="293">
        <f>SUM(F802+G802)</f>
        <v>42470</v>
      </c>
      <c r="I802" s="265"/>
      <c r="J802" s="294">
        <f>+H802</f>
        <v>42470</v>
      </c>
      <c r="K802" s="292"/>
      <c r="L802" s="293"/>
    </row>
    <row r="803" spans="1:12" x14ac:dyDescent="0.2">
      <c r="B803" s="263"/>
      <c r="C803" s="290"/>
      <c r="D803" s="265"/>
      <c r="E803" s="291"/>
      <c r="F803" s="292"/>
      <c r="G803" s="292"/>
      <c r="H803" s="293"/>
      <c r="I803" s="265"/>
      <c r="J803" s="294"/>
      <c r="K803" s="292"/>
      <c r="L803" s="293"/>
    </row>
    <row r="804" spans="1:12" x14ac:dyDescent="0.2">
      <c r="A804" s="264">
        <v>6</v>
      </c>
      <c r="B804" s="263" t="s">
        <v>113</v>
      </c>
      <c r="C804" s="290">
        <v>57775</v>
      </c>
      <c r="D804" s="265"/>
      <c r="E804" s="291">
        <v>1</v>
      </c>
      <c r="F804" s="292">
        <f>+C804*E804</f>
        <v>57775</v>
      </c>
      <c r="G804" s="292"/>
      <c r="H804" s="293">
        <f>SUM(F804+G804)</f>
        <v>57775</v>
      </c>
      <c r="I804" s="265"/>
      <c r="J804" s="294">
        <f>+H804</f>
        <v>57775</v>
      </c>
      <c r="K804" s="292"/>
      <c r="L804" s="293"/>
    </row>
    <row r="805" spans="1:12" x14ac:dyDescent="0.2">
      <c r="B805" s="263"/>
      <c r="C805" s="290"/>
      <c r="D805" s="265"/>
      <c r="E805" s="291"/>
      <c r="F805" s="292"/>
      <c r="G805" s="292"/>
      <c r="H805" s="293"/>
      <c r="I805" s="265"/>
      <c r="J805" s="294"/>
      <c r="K805" s="292"/>
      <c r="L805" s="293"/>
    </row>
    <row r="806" spans="1:12" x14ac:dyDescent="0.2">
      <c r="A806" s="264">
        <v>7</v>
      </c>
      <c r="B806" s="263" t="s">
        <v>151</v>
      </c>
      <c r="C806" s="273">
        <v>42470</v>
      </c>
      <c r="D806" s="265"/>
      <c r="E806" s="322">
        <f>ROUND(C783/100,0)</f>
        <v>0</v>
      </c>
      <c r="F806" s="292">
        <f>SUM(E806*C806)</f>
        <v>0</v>
      </c>
      <c r="G806" s="292"/>
      <c r="H806" s="293">
        <f>SUM(F806+G806)</f>
        <v>0</v>
      </c>
      <c r="I806" s="265"/>
      <c r="J806" s="293">
        <f>SUM(H806+I806)</f>
        <v>0</v>
      </c>
      <c r="K806" s="296"/>
      <c r="L806" s="297"/>
    </row>
    <row r="807" spans="1:12" x14ac:dyDescent="0.2">
      <c r="B807" s="263" t="s">
        <v>199</v>
      </c>
      <c r="C807" s="273"/>
      <c r="D807" s="265"/>
      <c r="E807" s="322"/>
      <c r="F807" s="292"/>
      <c r="G807" s="292">
        <v>10200</v>
      </c>
      <c r="H807" s="293">
        <v>10200</v>
      </c>
      <c r="I807" s="265"/>
      <c r="J807" s="292">
        <v>10200</v>
      </c>
      <c r="K807" s="292"/>
      <c r="L807" s="293"/>
    </row>
    <row r="808" spans="1:12" x14ac:dyDescent="0.2">
      <c r="A808" s="264">
        <v>8</v>
      </c>
      <c r="B808" s="263" t="s">
        <v>50</v>
      </c>
      <c r="C808" s="290">
        <v>15000</v>
      </c>
      <c r="D808" s="265"/>
      <c r="E808" s="291"/>
      <c r="F808" s="292"/>
      <c r="G808" s="292">
        <f>+C808</f>
        <v>15000</v>
      </c>
      <c r="H808" s="293">
        <f>SUM(F808+G808)</f>
        <v>15000</v>
      </c>
      <c r="I808" s="265"/>
      <c r="J808" s="323">
        <f>+H808</f>
        <v>15000</v>
      </c>
      <c r="K808" s="292"/>
      <c r="L808" s="293"/>
    </row>
    <row r="809" spans="1:12" x14ac:dyDescent="0.2">
      <c r="B809" s="263"/>
      <c r="C809" s="290"/>
      <c r="D809" s="265"/>
      <c r="E809" s="291"/>
      <c r="F809" s="292"/>
      <c r="G809" s="292"/>
      <c r="H809" s="293"/>
      <c r="I809" s="265"/>
      <c r="J809" s="323"/>
      <c r="K809" s="292"/>
      <c r="L809" s="293"/>
    </row>
    <row r="810" spans="1:12" x14ac:dyDescent="0.2">
      <c r="A810" s="264">
        <v>9</v>
      </c>
      <c r="B810" s="263" t="s">
        <v>51</v>
      </c>
      <c r="C810" s="290">
        <v>30000</v>
      </c>
      <c r="D810" s="265"/>
      <c r="E810" s="291"/>
      <c r="F810" s="292"/>
      <c r="G810" s="292">
        <f>+C810</f>
        <v>30000</v>
      </c>
      <c r="H810" s="293">
        <f>SUM(F810+G810)</f>
        <v>30000</v>
      </c>
      <c r="I810" s="265"/>
      <c r="J810" s="323">
        <f>+H810</f>
        <v>30000</v>
      </c>
      <c r="K810" s="292"/>
      <c r="L810" s="293"/>
    </row>
    <row r="811" spans="1:12" x14ac:dyDescent="0.2">
      <c r="B811" s="263"/>
      <c r="C811" s="290"/>
      <c r="D811" s="265"/>
      <c r="E811" s="291"/>
      <c r="F811" s="292"/>
      <c r="G811" s="292"/>
      <c r="H811" s="293"/>
      <c r="I811" s="265"/>
      <c r="J811" s="323"/>
      <c r="K811" s="292"/>
      <c r="L811" s="293"/>
    </row>
    <row r="812" spans="1:12" x14ac:dyDescent="0.2">
      <c r="A812" s="264">
        <v>10</v>
      </c>
      <c r="B812" s="263" t="s">
        <v>52</v>
      </c>
      <c r="C812" s="290">
        <v>40000</v>
      </c>
      <c r="D812" s="265"/>
      <c r="E812" s="291"/>
      <c r="F812" s="292"/>
      <c r="G812" s="292">
        <f>+C812</f>
        <v>40000</v>
      </c>
      <c r="H812" s="293">
        <f>SUM(F812+G812)</f>
        <v>40000</v>
      </c>
      <c r="I812" s="265"/>
      <c r="J812" s="323">
        <f>+H812</f>
        <v>40000</v>
      </c>
      <c r="K812" s="292"/>
      <c r="L812" s="293"/>
    </row>
    <row r="813" spans="1:12" x14ac:dyDescent="0.2">
      <c r="B813" s="263"/>
      <c r="C813" s="290"/>
      <c r="D813" s="265"/>
      <c r="E813" s="291"/>
      <c r="F813" s="292"/>
      <c r="G813" s="292"/>
      <c r="H813" s="293"/>
      <c r="I813" s="265"/>
      <c r="J813" s="294"/>
      <c r="K813" s="292"/>
      <c r="L813" s="293"/>
    </row>
    <row r="814" spans="1:12" x14ac:dyDescent="0.2">
      <c r="A814" s="264">
        <v>11</v>
      </c>
      <c r="B814" s="263" t="s">
        <v>53</v>
      </c>
      <c r="C814" s="290"/>
      <c r="D814" s="265"/>
      <c r="E814" s="291"/>
      <c r="F814" s="292"/>
      <c r="G814" s="292">
        <f>ROUND((F796+F798+F800+F802+F804+F816+F820+F822+F827+F829+F831+F833+F806+F835+F824)*0.15,0)</f>
        <v>213569</v>
      </c>
      <c r="H814" s="293">
        <f>SUM(G814)</f>
        <v>213569</v>
      </c>
      <c r="I814" s="265"/>
      <c r="J814" s="323">
        <f>ROUND((SUM(F796:F806)*0.15),0)</f>
        <v>45844</v>
      </c>
      <c r="K814" s="324">
        <f>ROUND(SUM(F816:F831,F833)*0.15,0)</f>
        <v>139125</v>
      </c>
      <c r="L814" s="325">
        <f>ROUND(F835*0.15,0)</f>
        <v>28600</v>
      </c>
    </row>
    <row r="815" spans="1:12" x14ac:dyDescent="0.2">
      <c r="B815" s="263"/>
      <c r="C815" s="290"/>
      <c r="D815" s="265"/>
      <c r="E815" s="291"/>
      <c r="F815" s="292"/>
      <c r="G815" s="292"/>
      <c r="H815" s="293"/>
      <c r="I815" s="265"/>
      <c r="J815" s="294"/>
      <c r="K815" s="296"/>
      <c r="L815" s="297"/>
    </row>
    <row r="816" spans="1:12" x14ac:dyDescent="0.2">
      <c r="A816" s="264">
        <v>12</v>
      </c>
      <c r="B816" s="263" t="s">
        <v>54</v>
      </c>
      <c r="C816" s="290"/>
      <c r="D816" s="265"/>
      <c r="E816" s="291"/>
      <c r="F816" s="292">
        <f>(F796+F798+F800+F802+F820+F804+F822++F827+F829+F831+F835+F806+F833+F824)*0.2045</f>
        <v>241731.20864999999</v>
      </c>
      <c r="G816" s="292"/>
      <c r="H816" s="293">
        <f>(F796+F798+F800+F802+F804+F820+F822+F827+F829+F831+F835+F806+F833+F824)*0.2045</f>
        <v>241731.20864999999</v>
      </c>
      <c r="I816" s="265"/>
      <c r="J816" s="323">
        <f>ROUND((SUM(F796:F806)*0.2045),0)</f>
        <v>62501</v>
      </c>
      <c r="K816" s="324">
        <f>ROUND((SUM(F820:F833)*0.2045),0)</f>
        <v>140239</v>
      </c>
      <c r="L816" s="325">
        <f>ROUND(F835*0.2045,0)</f>
        <v>38991</v>
      </c>
    </row>
    <row r="817" spans="1:12" x14ac:dyDescent="0.2">
      <c r="B817" s="263"/>
      <c r="C817" s="290"/>
      <c r="D817" s="265"/>
      <c r="E817" s="291"/>
      <c r="F817" s="292"/>
      <c r="G817" s="292"/>
      <c r="H817" s="293"/>
      <c r="I817" s="265"/>
      <c r="J817" s="294"/>
      <c r="K817" s="296"/>
      <c r="L817" s="297"/>
    </row>
    <row r="818" spans="1:12" x14ac:dyDescent="0.2">
      <c r="A818" s="264">
        <v>13</v>
      </c>
      <c r="B818" s="263" t="s">
        <v>55</v>
      </c>
      <c r="C818" s="290">
        <v>2000</v>
      </c>
      <c r="D818" s="265"/>
      <c r="E818" s="291"/>
      <c r="F818" s="292"/>
      <c r="G818" s="292">
        <f>E843*2000</f>
        <v>36000</v>
      </c>
      <c r="H818" s="293">
        <f t="shared" ref="H818" si="97">SUM(F818+G818)</f>
        <v>36000</v>
      </c>
      <c r="I818" s="265"/>
      <c r="J818" s="294">
        <f>(E796+E798+E800+E802+E804+E806)*2000</f>
        <v>10000</v>
      </c>
      <c r="K818" s="296">
        <f>ROUND(SUM(E822,E827,E829,E831,E833,E824)*2000,0)</f>
        <v>20000</v>
      </c>
      <c r="L818" s="297">
        <f>ROUND(E835*2000,0)</f>
        <v>6000</v>
      </c>
    </row>
    <row r="819" spans="1:12" x14ac:dyDescent="0.2">
      <c r="B819" s="263"/>
      <c r="C819" s="290"/>
      <c r="D819" s="265"/>
      <c r="E819" s="291"/>
      <c r="F819" s="292"/>
      <c r="G819" s="292"/>
      <c r="H819" s="293"/>
      <c r="I819" s="265"/>
      <c r="J819" s="294"/>
      <c r="K819" s="296"/>
      <c r="L819" s="297"/>
    </row>
    <row r="820" spans="1:12" ht="36.75" customHeight="1" x14ac:dyDescent="0.2">
      <c r="A820" s="264">
        <v>14</v>
      </c>
      <c r="B820" s="263" t="s">
        <v>114</v>
      </c>
      <c r="C820" s="290"/>
      <c r="D820" s="265"/>
      <c r="E820" s="291"/>
      <c r="F820" s="292">
        <f>(F827+F831+F833+F822+F824+F835+F829)*0.1</f>
        <v>79675.700000000012</v>
      </c>
      <c r="G820" s="292"/>
      <c r="H820" s="293">
        <f>SUM(F820+G820)</f>
        <v>79675.700000000012</v>
      </c>
      <c r="I820" s="265"/>
      <c r="J820" s="294"/>
      <c r="K820" s="296">
        <f>ROUND((+F822+F827+F831+F833+F824+F829)*0.1,0)</f>
        <v>60609</v>
      </c>
      <c r="L820" s="297">
        <f>ROUND(F835*0.1,0)</f>
        <v>19067</v>
      </c>
    </row>
    <row r="821" spans="1:12" x14ac:dyDescent="0.2">
      <c r="B821" s="263"/>
      <c r="C821" s="290"/>
      <c r="D821" s="265"/>
      <c r="E821" s="291"/>
      <c r="F821" s="292"/>
      <c r="G821" s="292"/>
      <c r="H821" s="293"/>
      <c r="I821" s="265"/>
      <c r="J821" s="294"/>
      <c r="K821" s="292"/>
      <c r="L821" s="293"/>
    </row>
    <row r="822" spans="1:12" x14ac:dyDescent="0.2">
      <c r="A822" s="264">
        <v>15</v>
      </c>
      <c r="B822" s="263" t="s">
        <v>57</v>
      </c>
      <c r="C822" s="290">
        <v>69911</v>
      </c>
      <c r="D822" s="265"/>
      <c r="E822" s="326">
        <f>ROUND((E835+E831+E829+E827+E833+E824)/6,0)</f>
        <v>2</v>
      </c>
      <c r="F822" s="292">
        <f>F788*E822</f>
        <v>139822</v>
      </c>
      <c r="G822" s="292"/>
      <c r="H822" s="293">
        <f t="shared" ref="H822" si="98">SUM(F822+G822)</f>
        <v>139822</v>
      </c>
      <c r="I822" s="265"/>
      <c r="J822" s="291"/>
      <c r="K822" s="296">
        <f>ROUND(F822*((+E$49+E$51+E$53)/(E$49+E$51+E$53+E$55)),0)</f>
        <v>88077</v>
      </c>
      <c r="L822" s="297">
        <f>ROUND((+F822*(E$55/(+E$49+E$51+E$53+E$55))),0)</f>
        <v>51745</v>
      </c>
    </row>
    <row r="823" spans="1:12" x14ac:dyDescent="0.2">
      <c r="B823" s="263"/>
      <c r="C823" s="290"/>
      <c r="D823" s="265"/>
      <c r="E823" s="291"/>
      <c r="F823" s="292"/>
      <c r="G823" s="292"/>
      <c r="H823" s="293"/>
      <c r="I823" s="265"/>
      <c r="J823" s="294"/>
      <c r="K823" s="292"/>
      <c r="L823" s="293"/>
    </row>
    <row r="824" spans="1:12" x14ac:dyDescent="0.2">
      <c r="A824" s="301">
        <v>16</v>
      </c>
      <c r="B824" s="301" t="s">
        <v>160</v>
      </c>
      <c r="C824" s="290">
        <v>42470</v>
      </c>
      <c r="D824" s="265"/>
      <c r="E824" s="326">
        <f>ROUNDUP((E835+E831+E829+E827+E833)/6,0)</f>
        <v>2</v>
      </c>
      <c r="F824" s="327">
        <f>F789*E824</f>
        <v>84940</v>
      </c>
      <c r="H824" s="293">
        <f t="shared" ref="H824" si="99">SUM(F824+G824)</f>
        <v>84940</v>
      </c>
      <c r="I824" s="265"/>
      <c r="J824" s="294"/>
      <c r="K824" s="296">
        <f>ROUND(F824*((+E$49+E$51+E$53)/(E$49+E$51+E$53+E$55)),0)</f>
        <v>53506</v>
      </c>
      <c r="L824" s="297">
        <f>ROUND((+F824*(E$55/(+E$49+E$51+E$53+E$55))),0)</f>
        <v>31434</v>
      </c>
    </row>
    <row r="825" spans="1:12" x14ac:dyDescent="0.2">
      <c r="B825" s="263"/>
      <c r="C825" s="290"/>
      <c r="D825" s="265"/>
      <c r="E825" s="291"/>
      <c r="F825" s="292"/>
      <c r="G825" s="292"/>
      <c r="H825" s="293"/>
      <c r="I825" s="265"/>
      <c r="J825" s="294"/>
      <c r="K825" s="292"/>
      <c r="L825" s="293"/>
    </row>
    <row r="826" spans="1:12" ht="15.75" x14ac:dyDescent="0.25">
      <c r="A826" s="282" t="s">
        <v>115</v>
      </c>
      <c r="B826" s="263"/>
      <c r="C826" s="290"/>
      <c r="D826" s="265"/>
      <c r="E826" s="291"/>
      <c r="F826" s="292"/>
      <c r="G826" s="292"/>
      <c r="H826" s="293"/>
      <c r="I826" s="265"/>
      <c r="J826" s="294"/>
      <c r="K826" s="292"/>
      <c r="L826" s="293"/>
    </row>
    <row r="827" spans="1:12" x14ac:dyDescent="0.2">
      <c r="A827" s="300">
        <v>17</v>
      </c>
      <c r="B827" s="301" t="s">
        <v>60</v>
      </c>
      <c r="C827" s="302">
        <v>63555</v>
      </c>
      <c r="D827" s="303"/>
      <c r="E827" s="304">
        <f>ROUND(C783/30,0)</f>
        <v>2</v>
      </c>
      <c r="F827" s="305">
        <f>F787*E827</f>
        <v>127110</v>
      </c>
      <c r="G827" s="305"/>
      <c r="H827" s="293">
        <f t="shared" ref="H827" si="100">SUM(F827+G827)</f>
        <v>127110</v>
      </c>
      <c r="I827" s="303"/>
      <c r="J827" s="306"/>
      <c r="K827" s="292">
        <f>SUM(E827*F787)</f>
        <v>127110</v>
      </c>
      <c r="L827" s="293"/>
    </row>
    <row r="828" spans="1:12" x14ac:dyDescent="0.2">
      <c r="A828" s="301"/>
      <c r="B828" s="301"/>
      <c r="C828" s="290"/>
      <c r="D828" s="265"/>
      <c r="E828" s="291"/>
      <c r="F828" s="292"/>
      <c r="G828" s="292"/>
      <c r="H828" s="293"/>
      <c r="I828" s="265"/>
      <c r="J828" s="294"/>
      <c r="K828" s="292"/>
      <c r="L828" s="293"/>
    </row>
    <row r="829" spans="1:12" ht="30" x14ac:dyDescent="0.2">
      <c r="A829" s="300">
        <v>18</v>
      </c>
      <c r="B829" s="301" t="s">
        <v>61</v>
      </c>
      <c r="C829" s="290">
        <v>63555</v>
      </c>
      <c r="D829" s="265"/>
      <c r="E829" s="291">
        <f>1</f>
        <v>1</v>
      </c>
      <c r="F829" s="292">
        <f>F787*E829</f>
        <v>63555</v>
      </c>
      <c r="G829" s="292"/>
      <c r="H829" s="293">
        <f t="shared" ref="H829" si="101">SUM(F829+G829)</f>
        <v>63555</v>
      </c>
      <c r="I829" s="265"/>
      <c r="J829" s="294" t="s">
        <v>62</v>
      </c>
      <c r="K829" s="292">
        <f>SUM(E829*F787)</f>
        <v>63555</v>
      </c>
      <c r="L829" s="293"/>
    </row>
    <row r="830" spans="1:12" x14ac:dyDescent="0.2">
      <c r="A830" s="301"/>
      <c r="B830" s="301"/>
      <c r="C830" s="290"/>
      <c r="D830" s="265"/>
      <c r="E830" s="291"/>
      <c r="F830" s="292"/>
      <c r="G830" s="292"/>
      <c r="H830" s="293"/>
      <c r="I830" s="265"/>
      <c r="J830" s="294"/>
      <c r="K830" s="292"/>
      <c r="L830" s="293"/>
    </row>
    <row r="831" spans="1:12" x14ac:dyDescent="0.2">
      <c r="A831" s="301">
        <v>19</v>
      </c>
      <c r="B831" s="301" t="s">
        <v>63</v>
      </c>
      <c r="C831" s="290">
        <v>63555</v>
      </c>
      <c r="D831" s="265"/>
      <c r="E831" s="291">
        <f>ROUND(C783/20,0)</f>
        <v>2</v>
      </c>
      <c r="F831" s="292">
        <f>F787*E831</f>
        <v>127110</v>
      </c>
      <c r="G831" s="292"/>
      <c r="H831" s="293">
        <f t="shared" ref="H831" si="102">SUM(F831+G831)</f>
        <v>127110</v>
      </c>
      <c r="I831" s="265"/>
      <c r="J831" s="294"/>
      <c r="K831" s="292">
        <f>SUM(E831*F787)</f>
        <v>127110</v>
      </c>
      <c r="L831" s="293"/>
    </row>
    <row r="832" spans="1:12" x14ac:dyDescent="0.2">
      <c r="A832" s="301"/>
      <c r="B832" s="301"/>
      <c r="C832" s="290"/>
      <c r="D832" s="265"/>
      <c r="E832" s="291"/>
      <c r="F832" s="292"/>
      <c r="G832" s="292"/>
      <c r="H832" s="293"/>
      <c r="I832" s="265"/>
      <c r="J832" s="294"/>
      <c r="K832" s="292"/>
      <c r="L832" s="293"/>
    </row>
    <row r="833" spans="1:12" x14ac:dyDescent="0.2">
      <c r="A833" s="301">
        <v>20</v>
      </c>
      <c r="B833" s="301" t="s">
        <v>111</v>
      </c>
      <c r="C833" s="290">
        <v>63555</v>
      </c>
      <c r="D833" s="265"/>
      <c r="E833" s="328">
        <f>ROUNDDOWN(C784/40,0)</f>
        <v>1</v>
      </c>
      <c r="F833" s="292">
        <f>F787*E833</f>
        <v>63555</v>
      </c>
      <c r="G833" s="292"/>
      <c r="H833" s="293">
        <f t="shared" ref="H833" si="103">SUM(F833+G833)</f>
        <v>63555</v>
      </c>
      <c r="I833" s="290"/>
      <c r="K833" s="265">
        <f>SUM(E833*F787)</f>
        <v>63555</v>
      </c>
      <c r="L833" s="329"/>
    </row>
    <row r="834" spans="1:12" x14ac:dyDescent="0.2">
      <c r="A834" s="301"/>
      <c r="B834" s="301"/>
      <c r="C834" s="290"/>
      <c r="D834" s="265"/>
      <c r="E834" s="291"/>
      <c r="F834" s="292"/>
      <c r="G834" s="292"/>
      <c r="H834" s="293"/>
      <c r="I834" s="290"/>
      <c r="L834" s="329"/>
    </row>
    <row r="835" spans="1:12" x14ac:dyDescent="0.2">
      <c r="A835" s="301">
        <v>21</v>
      </c>
      <c r="B835" s="301" t="s">
        <v>112</v>
      </c>
      <c r="C835" s="290">
        <v>63555</v>
      </c>
      <c r="D835" s="265"/>
      <c r="E835" s="328">
        <f>ROUND(C784/20,0)</f>
        <v>3</v>
      </c>
      <c r="F835" s="292">
        <f>SUM(E835*F787)</f>
        <v>190665</v>
      </c>
      <c r="H835" s="293">
        <f t="shared" ref="H835" si="104">SUM(F835+G835)</f>
        <v>190665</v>
      </c>
      <c r="I835" s="290"/>
      <c r="K835" s="265"/>
      <c r="L835" s="293">
        <f>SUM(H835)</f>
        <v>190665</v>
      </c>
    </row>
    <row r="836" spans="1:12" x14ac:dyDescent="0.2">
      <c r="A836" s="301"/>
      <c r="B836" s="301"/>
      <c r="C836" s="290"/>
      <c r="D836" s="265"/>
      <c r="E836" s="291"/>
      <c r="F836" s="292"/>
      <c r="H836" s="293"/>
      <c r="I836" s="290"/>
      <c r="L836" s="329"/>
    </row>
    <row r="837" spans="1:12" x14ac:dyDescent="0.2">
      <c r="A837" s="301">
        <v>22</v>
      </c>
      <c r="B837" s="301" t="s">
        <v>155</v>
      </c>
      <c r="C837" s="295"/>
      <c r="D837" s="307"/>
      <c r="E837" s="291"/>
      <c r="F837" s="292"/>
      <c r="G837" s="292">
        <f>ROUND(175*C782,0)</f>
        <v>133350</v>
      </c>
      <c r="H837" s="293">
        <f t="shared" ref="H837" si="105">SUM(F837+G837)</f>
        <v>133350</v>
      </c>
      <c r="I837" s="265"/>
      <c r="J837" s="294" t="s">
        <v>62</v>
      </c>
      <c r="K837" s="292">
        <f>ROUND(175/2*C782,0)</f>
        <v>66675</v>
      </c>
      <c r="L837" s="293">
        <f>ROUND(175/2*C782,0)</f>
        <v>66675</v>
      </c>
    </row>
    <row r="838" spans="1:12" x14ac:dyDescent="0.2">
      <c r="A838" s="301"/>
      <c r="B838" s="301"/>
      <c r="C838" s="290"/>
      <c r="D838" s="265"/>
      <c r="E838" s="291"/>
      <c r="F838" s="292"/>
      <c r="G838" s="292"/>
      <c r="H838" s="293"/>
      <c r="I838" s="265"/>
      <c r="J838" s="294"/>
      <c r="K838" s="292"/>
      <c r="L838" s="293"/>
    </row>
    <row r="839" spans="1:12" x14ac:dyDescent="0.2">
      <c r="A839" s="301">
        <v>23</v>
      </c>
      <c r="B839" s="301" t="s">
        <v>66</v>
      </c>
      <c r="C839" s="290">
        <v>11500</v>
      </c>
      <c r="D839" s="265"/>
      <c r="E839" s="291"/>
      <c r="F839" s="292"/>
      <c r="G839" s="292">
        <f>(E796+E822+E833+E827+E829+E831+E835+E824)*11500</f>
        <v>161000</v>
      </c>
      <c r="H839" s="293">
        <f>SUM(F839:G839)</f>
        <v>161000</v>
      </c>
      <c r="I839" s="265"/>
      <c r="J839" s="323">
        <f>ROUND(11500*E796,0)</f>
        <v>11500</v>
      </c>
      <c r="K839" s="296">
        <f>(ROUND(11500*(+E831+E829+E827+E833+E822+E824),0))</f>
        <v>115000</v>
      </c>
      <c r="L839" s="297">
        <f>ROUND(11500*E835,0)</f>
        <v>34500</v>
      </c>
    </row>
    <row r="840" spans="1:12" x14ac:dyDescent="0.2">
      <c r="A840" s="301"/>
      <c r="B840" s="301"/>
      <c r="C840" s="290"/>
      <c r="D840" s="265"/>
      <c r="E840" s="291"/>
      <c r="G840" s="292"/>
      <c r="H840" s="293"/>
      <c r="J840" s="294"/>
      <c r="K840" s="296"/>
      <c r="L840" s="297"/>
    </row>
    <row r="841" spans="1:12" x14ac:dyDescent="0.2">
      <c r="A841" s="301">
        <v>24</v>
      </c>
      <c r="B841" s="301" t="s">
        <v>82</v>
      </c>
      <c r="C841" s="290"/>
      <c r="D841" s="265"/>
      <c r="E841" s="291"/>
      <c r="G841" s="292">
        <v>19090</v>
      </c>
      <c r="H841" s="293">
        <f t="shared" ref="H841" si="106">SUM(F841+G841)</f>
        <v>19090</v>
      </c>
      <c r="I841" s="330"/>
      <c r="J841" s="292"/>
      <c r="K841" s="296"/>
      <c r="L841" s="297">
        <f>+H841</f>
        <v>19090</v>
      </c>
    </row>
    <row r="842" spans="1:12" ht="15.75" thickBot="1" x14ac:dyDescent="0.25">
      <c r="B842" s="331"/>
      <c r="C842" s="332"/>
      <c r="D842" s="265"/>
      <c r="E842" s="291"/>
      <c r="H842" s="293"/>
      <c r="I842" s="333"/>
      <c r="J842" s="265"/>
      <c r="L842" s="293"/>
    </row>
    <row r="843" spans="1:12" ht="16.5" thickBot="1" x14ac:dyDescent="0.3">
      <c r="B843" s="334" t="s">
        <v>67</v>
      </c>
      <c r="C843" s="335"/>
      <c r="D843" s="336"/>
      <c r="E843" s="337">
        <f>SUM(E793:E842)</f>
        <v>18</v>
      </c>
      <c r="F843" s="336">
        <f>SUM(F793:F841)</f>
        <v>1423790.9086499999</v>
      </c>
      <c r="G843" s="336">
        <f>SUM(G794:G841)</f>
        <v>708209</v>
      </c>
      <c r="H843" s="338">
        <f>SUM(H794:H842)</f>
        <v>2131999.9086499996</v>
      </c>
      <c r="I843" s="336"/>
      <c r="J843" s="339">
        <f>SUM(J794:J841)</f>
        <v>510761</v>
      </c>
      <c r="K843" s="336">
        <f>SUM(K794:K842)</f>
        <v>1064561</v>
      </c>
      <c r="L843" s="340">
        <f>SUM(L793:L842)</f>
        <v>556678</v>
      </c>
    </row>
    <row r="844" spans="1:12" ht="15.75" x14ac:dyDescent="0.25">
      <c r="B844" s="318"/>
      <c r="C844" s="271"/>
      <c r="D844" s="271"/>
      <c r="E844" s="274"/>
      <c r="J844" s="265"/>
      <c r="K844" s="265"/>
      <c r="L844" s="347"/>
    </row>
    <row r="845" spans="1:12" ht="15.75" x14ac:dyDescent="0.25">
      <c r="C845" s="272"/>
      <c r="D845" s="272"/>
      <c r="E845" s="274"/>
      <c r="L845" s="347"/>
    </row>
    <row r="847" spans="1:12" x14ac:dyDescent="0.2">
      <c r="A847" s="262"/>
      <c r="B847" s="263"/>
    </row>
    <row r="848" spans="1:12" ht="15.75" x14ac:dyDescent="0.25">
      <c r="A848" s="266" t="s">
        <v>24</v>
      </c>
      <c r="B848" s="267"/>
      <c r="C848" s="320" t="s">
        <v>95</v>
      </c>
    </row>
    <row r="849" spans="1:12" ht="15.75" x14ac:dyDescent="0.25">
      <c r="A849" s="266" t="s">
        <v>106</v>
      </c>
      <c r="B849" s="263"/>
    </row>
    <row r="850" spans="1:12" x14ac:dyDescent="0.2">
      <c r="B850" s="263"/>
      <c r="C850" s="268"/>
      <c r="D850" s="268"/>
    </row>
    <row r="851" spans="1:12" x14ac:dyDescent="0.2">
      <c r="B851" s="263"/>
      <c r="C851" s="269"/>
      <c r="D851" s="269"/>
    </row>
    <row r="852" spans="1:12" ht="15.75" x14ac:dyDescent="0.25">
      <c r="A852" s="264" t="s">
        <v>27</v>
      </c>
      <c r="B852" s="263"/>
      <c r="C852" s="270">
        <v>1487</v>
      </c>
      <c r="D852" s="270" t="s">
        <v>79</v>
      </c>
      <c r="E852" s="271"/>
    </row>
    <row r="853" spans="1:12" ht="15.75" x14ac:dyDescent="0.25">
      <c r="A853" s="264" t="s">
        <v>28</v>
      </c>
      <c r="B853" s="263"/>
      <c r="C853" s="270">
        <f>SUM(C852*0.06)</f>
        <v>89.22</v>
      </c>
      <c r="D853" s="268"/>
      <c r="E853" s="271"/>
    </row>
    <row r="854" spans="1:12" ht="15.75" x14ac:dyDescent="0.25">
      <c r="A854" s="264" t="s">
        <v>29</v>
      </c>
      <c r="B854" s="263"/>
      <c r="C854" s="270">
        <v>99.13333333333334</v>
      </c>
      <c r="D854" s="270"/>
      <c r="E854" s="271"/>
    </row>
    <row r="855" spans="1:12" ht="15.75" x14ac:dyDescent="0.25">
      <c r="B855" s="263" t="s">
        <v>30</v>
      </c>
      <c r="C855" s="270">
        <v>3</v>
      </c>
      <c r="D855" s="268"/>
      <c r="E855" s="271"/>
    </row>
    <row r="856" spans="1:12" x14ac:dyDescent="0.2">
      <c r="B856" s="263"/>
    </row>
    <row r="857" spans="1:12" x14ac:dyDescent="0.2">
      <c r="A857" s="271" t="s">
        <v>107</v>
      </c>
      <c r="B857" s="272"/>
      <c r="D857" s="273"/>
      <c r="F857" s="273">
        <v>63555</v>
      </c>
      <c r="I857" s="265"/>
    </row>
    <row r="858" spans="1:12" x14ac:dyDescent="0.2">
      <c r="A858" s="271" t="s">
        <v>108</v>
      </c>
      <c r="B858" s="272"/>
      <c r="D858" s="273"/>
      <c r="F858" s="273">
        <v>69911</v>
      </c>
      <c r="I858" s="265"/>
    </row>
    <row r="859" spans="1:12" x14ac:dyDescent="0.2">
      <c r="A859" s="271" t="s">
        <v>109</v>
      </c>
      <c r="B859" s="272"/>
      <c r="D859" s="273"/>
      <c r="F859" s="273">
        <v>42470</v>
      </c>
      <c r="I859" s="265"/>
    </row>
    <row r="860" spans="1:12" x14ac:dyDescent="0.2">
      <c r="A860" s="271"/>
      <c r="B860" s="272"/>
      <c r="C860" s="274"/>
      <c r="D860" s="274"/>
      <c r="I860" s="265"/>
    </row>
    <row r="861" spans="1:12" ht="15.75" x14ac:dyDescent="0.25">
      <c r="B861" s="263"/>
      <c r="J861" s="275" t="s">
        <v>34</v>
      </c>
      <c r="K861" s="419" t="s">
        <v>35</v>
      </c>
      <c r="L861" s="420"/>
    </row>
    <row r="862" spans="1:12" ht="15.75" x14ac:dyDescent="0.25">
      <c r="A862" s="266" t="s">
        <v>36</v>
      </c>
      <c r="B862" s="276"/>
      <c r="C862" s="277" t="s">
        <v>80</v>
      </c>
      <c r="D862" s="278"/>
      <c r="E862" s="275" t="s">
        <v>38</v>
      </c>
      <c r="F862" s="275" t="s">
        <v>39</v>
      </c>
      <c r="G862" s="275" t="s">
        <v>40</v>
      </c>
      <c r="H862" s="279" t="s">
        <v>0</v>
      </c>
      <c r="I862" s="280"/>
      <c r="J862" s="277" t="s">
        <v>41</v>
      </c>
      <c r="K862" s="281" t="s">
        <v>42</v>
      </c>
      <c r="L862" s="275" t="s">
        <v>43</v>
      </c>
    </row>
    <row r="863" spans="1:12" ht="15.75" x14ac:dyDescent="0.25">
      <c r="A863" s="282"/>
      <c r="B863" s="276"/>
      <c r="C863" s="283"/>
      <c r="D863" s="278"/>
      <c r="E863" s="284"/>
      <c r="F863" s="285"/>
      <c r="G863" s="285"/>
      <c r="H863" s="286"/>
      <c r="I863" s="280"/>
      <c r="J863" s="287"/>
      <c r="K863" s="288"/>
      <c r="L863" s="289"/>
    </row>
    <row r="864" spans="1:12" x14ac:dyDescent="0.2">
      <c r="A864" s="264">
        <v>1</v>
      </c>
      <c r="B864" s="263" t="s">
        <v>44</v>
      </c>
      <c r="C864" s="290">
        <v>50000</v>
      </c>
      <c r="D864" s="265"/>
      <c r="E864" s="291"/>
      <c r="F864" s="292"/>
      <c r="G864" s="292">
        <f>+C864</f>
        <v>50000</v>
      </c>
      <c r="H864" s="293">
        <f>SUM(F864+G864)</f>
        <v>50000</v>
      </c>
      <c r="I864" s="265"/>
      <c r="J864" s="294">
        <f>+H864</f>
        <v>50000</v>
      </c>
      <c r="K864" s="292"/>
      <c r="L864" s="293"/>
    </row>
    <row r="865" spans="1:12" x14ac:dyDescent="0.2">
      <c r="B865" s="263"/>
      <c r="C865" s="290"/>
      <c r="D865" s="265"/>
      <c r="E865" s="291"/>
      <c r="F865" s="292"/>
      <c r="G865" s="292"/>
      <c r="H865" s="293"/>
      <c r="I865" s="265"/>
      <c r="J865" s="294"/>
      <c r="K865" s="292"/>
      <c r="L865" s="293"/>
    </row>
    <row r="866" spans="1:12" x14ac:dyDescent="0.2">
      <c r="A866" s="264">
        <v>2</v>
      </c>
      <c r="B866" s="263" t="s">
        <v>45</v>
      </c>
      <c r="C866" s="290">
        <v>89606</v>
      </c>
      <c r="D866" s="265"/>
      <c r="E866" s="291">
        <v>1</v>
      </c>
      <c r="F866" s="292">
        <f>+C866*E866</f>
        <v>89606</v>
      </c>
      <c r="G866" s="292"/>
      <c r="H866" s="293">
        <f>SUM(F866+G866)</f>
        <v>89606</v>
      </c>
      <c r="I866" s="265"/>
      <c r="J866" s="294">
        <f>+H866</f>
        <v>89606</v>
      </c>
      <c r="K866" s="292"/>
      <c r="L866" s="293"/>
    </row>
    <row r="867" spans="1:12" x14ac:dyDescent="0.2">
      <c r="B867" s="263"/>
      <c r="C867" s="290"/>
      <c r="D867" s="265"/>
      <c r="E867" s="291"/>
      <c r="F867" s="292"/>
      <c r="G867" s="292"/>
      <c r="H867" s="293"/>
      <c r="I867" s="265"/>
      <c r="J867" s="294"/>
      <c r="K867" s="292"/>
      <c r="L867" s="293"/>
    </row>
    <row r="868" spans="1:12" x14ac:dyDescent="0.2">
      <c r="A868" s="264">
        <v>3</v>
      </c>
      <c r="B868" s="301" t="s">
        <v>176</v>
      </c>
      <c r="C868" s="290">
        <v>69911</v>
      </c>
      <c r="D868" s="265"/>
      <c r="E868" s="291">
        <v>1</v>
      </c>
      <c r="F868" s="292">
        <f>+C868*E868</f>
        <v>69911</v>
      </c>
      <c r="G868" s="292"/>
      <c r="H868" s="293">
        <f>SUM(F868+G868)</f>
        <v>69911</v>
      </c>
      <c r="I868" s="265"/>
      <c r="J868" s="294"/>
      <c r="K868" s="292"/>
      <c r="L868" s="293">
        <f>$H$92</f>
        <v>69911</v>
      </c>
    </row>
    <row r="869" spans="1:12" x14ac:dyDescent="0.2">
      <c r="B869" s="263"/>
      <c r="C869" s="290"/>
      <c r="D869" s="265"/>
      <c r="E869" s="291"/>
      <c r="F869" s="292"/>
      <c r="G869" s="292"/>
      <c r="H869" s="293"/>
      <c r="I869" s="265"/>
      <c r="J869" s="294"/>
      <c r="K869" s="292"/>
      <c r="L869" s="293"/>
    </row>
    <row r="870" spans="1:12" x14ac:dyDescent="0.2">
      <c r="A870" s="264">
        <v>4</v>
      </c>
      <c r="B870" s="263" t="s">
        <v>46</v>
      </c>
      <c r="C870" s="290">
        <v>45865</v>
      </c>
      <c r="D870" s="265"/>
      <c r="E870" s="291">
        <v>1</v>
      </c>
      <c r="F870" s="292">
        <f>+C870*E870</f>
        <v>45865</v>
      </c>
      <c r="G870" s="292"/>
      <c r="H870" s="293">
        <f>SUM(F870+G870)</f>
        <v>45865</v>
      </c>
      <c r="I870" s="265"/>
      <c r="J870" s="294">
        <f>+H870</f>
        <v>45865</v>
      </c>
      <c r="K870" s="292"/>
      <c r="L870" s="293"/>
    </row>
    <row r="871" spans="1:12" x14ac:dyDescent="0.2">
      <c r="B871" s="263"/>
      <c r="C871" s="290"/>
      <c r="D871" s="265"/>
      <c r="E871" s="291"/>
      <c r="F871" s="292"/>
      <c r="G871" s="292"/>
      <c r="H871" s="293"/>
      <c r="I871" s="265"/>
      <c r="J871" s="294"/>
      <c r="K871" s="292"/>
      <c r="L871" s="293"/>
    </row>
    <row r="872" spans="1:12" x14ac:dyDescent="0.2">
      <c r="A872" s="264">
        <v>5</v>
      </c>
      <c r="B872" s="263" t="s">
        <v>47</v>
      </c>
      <c r="C872" s="290">
        <v>42470</v>
      </c>
      <c r="D872" s="265"/>
      <c r="E872" s="291">
        <v>1</v>
      </c>
      <c r="F872" s="292">
        <f>+C872*E872</f>
        <v>42470</v>
      </c>
      <c r="G872" s="292"/>
      <c r="H872" s="293">
        <f>SUM(F872+G872)</f>
        <v>42470</v>
      </c>
      <c r="I872" s="265"/>
      <c r="J872" s="294">
        <f>+H872</f>
        <v>42470</v>
      </c>
      <c r="K872" s="292"/>
      <c r="L872" s="293"/>
    </row>
    <row r="873" spans="1:12" x14ac:dyDescent="0.2">
      <c r="B873" s="263"/>
      <c r="C873" s="290"/>
      <c r="D873" s="265"/>
      <c r="E873" s="291"/>
      <c r="F873" s="292"/>
      <c r="G873" s="292"/>
      <c r="H873" s="293"/>
      <c r="I873" s="265"/>
      <c r="J873" s="294"/>
      <c r="K873" s="292"/>
      <c r="L873" s="293"/>
    </row>
    <row r="874" spans="1:12" x14ac:dyDescent="0.2">
      <c r="A874" s="264">
        <v>6</v>
      </c>
      <c r="B874" s="263" t="s">
        <v>113</v>
      </c>
      <c r="C874" s="290">
        <v>57775</v>
      </c>
      <c r="D874" s="265"/>
      <c r="E874" s="291">
        <v>1</v>
      </c>
      <c r="F874" s="292">
        <f>+C874*E874</f>
        <v>57775</v>
      </c>
      <c r="G874" s="292"/>
      <c r="H874" s="293">
        <f>SUM(F874+G874)</f>
        <v>57775</v>
      </c>
      <c r="I874" s="265"/>
      <c r="J874" s="294">
        <f>+H874</f>
        <v>57775</v>
      </c>
      <c r="K874" s="292"/>
      <c r="L874" s="293"/>
    </row>
    <row r="875" spans="1:12" x14ac:dyDescent="0.2">
      <c r="B875" s="263"/>
      <c r="C875" s="290"/>
      <c r="D875" s="265"/>
      <c r="E875" s="291"/>
      <c r="F875" s="292"/>
      <c r="G875" s="292"/>
      <c r="H875" s="293"/>
      <c r="I875" s="265"/>
      <c r="J875" s="294"/>
      <c r="K875" s="292"/>
      <c r="L875" s="293"/>
    </row>
    <row r="876" spans="1:12" x14ac:dyDescent="0.2">
      <c r="A876" s="264">
        <v>7</v>
      </c>
      <c r="B876" s="263" t="s">
        <v>151</v>
      </c>
      <c r="C876" s="273">
        <v>42470</v>
      </c>
      <c r="D876" s="265"/>
      <c r="E876" s="322">
        <f>ROUND(C853/100,0)</f>
        <v>1</v>
      </c>
      <c r="F876" s="292">
        <f>SUM(E876*C876)</f>
        <v>42470</v>
      </c>
      <c r="G876" s="292"/>
      <c r="H876" s="293">
        <f>SUM(F876+G876)</f>
        <v>42470</v>
      </c>
      <c r="I876" s="265"/>
      <c r="J876" s="293">
        <f>SUM(H876+I876)</f>
        <v>42470</v>
      </c>
      <c r="K876" s="296"/>
      <c r="L876" s="297"/>
    </row>
    <row r="877" spans="1:12" x14ac:dyDescent="0.2">
      <c r="B877" s="263" t="s">
        <v>199</v>
      </c>
      <c r="C877" s="273"/>
      <c r="D877" s="265"/>
      <c r="E877" s="322"/>
      <c r="F877" s="292"/>
      <c r="G877" s="292">
        <v>10200</v>
      </c>
      <c r="H877" s="293">
        <v>10200</v>
      </c>
      <c r="I877" s="265"/>
      <c r="J877" s="292">
        <v>10200</v>
      </c>
      <c r="K877" s="292"/>
      <c r="L877" s="293"/>
    </row>
    <row r="878" spans="1:12" x14ac:dyDescent="0.2">
      <c r="A878" s="264">
        <v>8</v>
      </c>
      <c r="B878" s="263" t="s">
        <v>50</v>
      </c>
      <c r="C878" s="290">
        <v>15000</v>
      </c>
      <c r="D878" s="265"/>
      <c r="E878" s="291"/>
      <c r="F878" s="292"/>
      <c r="G878" s="292">
        <f>+C878</f>
        <v>15000</v>
      </c>
      <c r="H878" s="293">
        <f>SUM(F878+G878)</f>
        <v>15000</v>
      </c>
      <c r="I878" s="265"/>
      <c r="J878" s="323">
        <f>+H878</f>
        <v>15000</v>
      </c>
      <c r="K878" s="292"/>
      <c r="L878" s="293"/>
    </row>
    <row r="879" spans="1:12" x14ac:dyDescent="0.2">
      <c r="B879" s="263"/>
      <c r="C879" s="290"/>
      <c r="D879" s="265"/>
      <c r="E879" s="291"/>
      <c r="F879" s="292"/>
      <c r="G879" s="292"/>
      <c r="H879" s="293"/>
      <c r="I879" s="265"/>
      <c r="J879" s="323"/>
      <c r="K879" s="292"/>
      <c r="L879" s="293"/>
    </row>
    <row r="880" spans="1:12" x14ac:dyDescent="0.2">
      <c r="A880" s="264">
        <v>9</v>
      </c>
      <c r="B880" s="263" t="s">
        <v>51</v>
      </c>
      <c r="C880" s="290">
        <v>30000</v>
      </c>
      <c r="D880" s="265"/>
      <c r="E880" s="291"/>
      <c r="F880" s="292"/>
      <c r="G880" s="292">
        <f>+C880</f>
        <v>30000</v>
      </c>
      <c r="H880" s="293">
        <f>SUM(F880+G880)</f>
        <v>30000</v>
      </c>
      <c r="I880" s="265"/>
      <c r="J880" s="323">
        <f>+H880</f>
        <v>30000</v>
      </c>
      <c r="K880" s="292"/>
      <c r="L880" s="293"/>
    </row>
    <row r="881" spans="1:12" x14ac:dyDescent="0.2">
      <c r="B881" s="263"/>
      <c r="C881" s="290"/>
      <c r="D881" s="265"/>
      <c r="E881" s="291"/>
      <c r="F881" s="292"/>
      <c r="G881" s="292"/>
      <c r="H881" s="293"/>
      <c r="I881" s="265"/>
      <c r="J881" s="323"/>
      <c r="K881" s="292"/>
      <c r="L881" s="293"/>
    </row>
    <row r="882" spans="1:12" x14ac:dyDescent="0.2">
      <c r="A882" s="264">
        <v>10</v>
      </c>
      <c r="B882" s="263" t="s">
        <v>52</v>
      </c>
      <c r="C882" s="290">
        <v>40000</v>
      </c>
      <c r="D882" s="265"/>
      <c r="E882" s="291"/>
      <c r="F882" s="292"/>
      <c r="G882" s="292">
        <f>+C882</f>
        <v>40000</v>
      </c>
      <c r="H882" s="293">
        <f>SUM(F882+G882)</f>
        <v>40000</v>
      </c>
      <c r="I882" s="265"/>
      <c r="J882" s="323">
        <f>+H882</f>
        <v>40000</v>
      </c>
      <c r="K882" s="292"/>
      <c r="L882" s="293"/>
    </row>
    <row r="883" spans="1:12" x14ac:dyDescent="0.2">
      <c r="B883" s="263"/>
      <c r="C883" s="290"/>
      <c r="D883" s="265"/>
      <c r="E883" s="291"/>
      <c r="F883" s="292"/>
      <c r="G883" s="292"/>
      <c r="H883" s="293"/>
      <c r="I883" s="265"/>
      <c r="J883" s="294"/>
      <c r="K883" s="292"/>
      <c r="L883" s="293"/>
    </row>
    <row r="884" spans="1:12" x14ac:dyDescent="0.2">
      <c r="A884" s="264">
        <v>11</v>
      </c>
      <c r="B884" s="263" t="s">
        <v>53</v>
      </c>
      <c r="C884" s="290"/>
      <c r="D884" s="265"/>
      <c r="E884" s="291"/>
      <c r="F884" s="292"/>
      <c r="G884" s="292">
        <f>ROUND((F866+F868+F870+F872+F874+F886+F890+F892+F897+F899+F901+F903+F876+F905+F894)*0.15,0)</f>
        <v>319363</v>
      </c>
      <c r="H884" s="293">
        <f>SUM(G884)</f>
        <v>319363</v>
      </c>
      <c r="I884" s="265"/>
      <c r="J884" s="323">
        <f>ROUND((SUM(F866:F876)*0.15),0)</f>
        <v>52215</v>
      </c>
      <c r="K884" s="324">
        <f>ROUND(SUM(F886:F901,F903)*0.15,0)</f>
        <v>219482</v>
      </c>
      <c r="L884" s="325">
        <f>ROUND(F905*0.15,0)</f>
        <v>47666</v>
      </c>
    </row>
    <row r="885" spans="1:12" x14ac:dyDescent="0.2">
      <c r="B885" s="263"/>
      <c r="C885" s="290"/>
      <c r="D885" s="265"/>
      <c r="E885" s="291"/>
      <c r="F885" s="292"/>
      <c r="G885" s="292"/>
      <c r="H885" s="293"/>
      <c r="I885" s="265"/>
      <c r="J885" s="294"/>
      <c r="K885" s="296"/>
      <c r="L885" s="297"/>
    </row>
    <row r="886" spans="1:12" x14ac:dyDescent="0.2">
      <c r="A886" s="264">
        <v>12</v>
      </c>
      <c r="B886" s="263" t="s">
        <v>54</v>
      </c>
      <c r="C886" s="290"/>
      <c r="D886" s="265"/>
      <c r="E886" s="291"/>
      <c r="F886" s="292">
        <f>(F866+F868+F870+F872+F890+F874+F892++F897+F899+F901+F905+F876+F903+F894)*0.2045</f>
        <v>361476.61309999996</v>
      </c>
      <c r="G886" s="292"/>
      <c r="H886" s="293">
        <f>(F866+F868+F870+F872+F874+F890+F892+F897+F899+F901+F905+F876+F903+F894)*0.2045</f>
        <v>361476.61309999996</v>
      </c>
      <c r="I886" s="265"/>
      <c r="J886" s="323">
        <f>ROUND((SUM(F866:F876)*0.2045),0)</f>
        <v>71186</v>
      </c>
      <c r="K886" s="324">
        <f>ROUND((SUM(F890:F903)*0.2045),0)</f>
        <v>225306</v>
      </c>
      <c r="L886" s="325">
        <f>ROUND(F905*0.2045,0)</f>
        <v>64985</v>
      </c>
    </row>
    <row r="887" spans="1:12" x14ac:dyDescent="0.2">
      <c r="B887" s="263"/>
      <c r="C887" s="290"/>
      <c r="D887" s="265"/>
      <c r="E887" s="291"/>
      <c r="F887" s="292"/>
      <c r="G887" s="292"/>
      <c r="H887" s="293"/>
      <c r="I887" s="265"/>
      <c r="J887" s="294"/>
      <c r="K887" s="296"/>
      <c r="L887" s="297"/>
    </row>
    <row r="888" spans="1:12" x14ac:dyDescent="0.2">
      <c r="A888" s="264">
        <v>13</v>
      </c>
      <c r="B888" s="263" t="s">
        <v>55</v>
      </c>
      <c r="C888" s="290">
        <v>2000</v>
      </c>
      <c r="D888" s="265"/>
      <c r="E888" s="291"/>
      <c r="F888" s="292"/>
      <c r="G888" s="292">
        <f>E913*2000</f>
        <v>54000</v>
      </c>
      <c r="H888" s="293">
        <f t="shared" ref="H888" si="107">SUM(F888+G888)</f>
        <v>54000</v>
      </c>
      <c r="I888" s="265"/>
      <c r="J888" s="294">
        <f>(E866+E868+E870+E872+E874+E876)*2000</f>
        <v>12000</v>
      </c>
      <c r="K888" s="296">
        <f>ROUND(SUM(E892,E897,E899,E901,E903,E894)*2000,0)</f>
        <v>32000</v>
      </c>
      <c r="L888" s="297">
        <f>ROUND(E905*2000,0)</f>
        <v>10000</v>
      </c>
    </row>
    <row r="889" spans="1:12" x14ac:dyDescent="0.2">
      <c r="B889" s="263"/>
      <c r="C889" s="290"/>
      <c r="D889" s="265"/>
      <c r="E889" s="291"/>
      <c r="F889" s="292"/>
      <c r="G889" s="292"/>
      <c r="H889" s="293"/>
      <c r="I889" s="265"/>
      <c r="J889" s="294"/>
      <c r="K889" s="296"/>
      <c r="L889" s="297"/>
    </row>
    <row r="890" spans="1:12" ht="36.75" customHeight="1" x14ac:dyDescent="0.2">
      <c r="A890" s="264">
        <v>14</v>
      </c>
      <c r="B890" s="263" t="s">
        <v>114</v>
      </c>
      <c r="C890" s="290"/>
      <c r="D890" s="265"/>
      <c r="E890" s="291"/>
      <c r="F890" s="292">
        <f>(F897+F901+F903+F892+F894+F905+F899)*0.1</f>
        <v>129046.8</v>
      </c>
      <c r="G890" s="292"/>
      <c r="H890" s="293">
        <f>SUM(F890+G890)</f>
        <v>129046.8</v>
      </c>
      <c r="I890" s="265"/>
      <c r="J890" s="294"/>
      <c r="K890" s="296">
        <f>ROUND((+F892+F897+F901+F903+F894+F899)*0.1,0)</f>
        <v>97269</v>
      </c>
      <c r="L890" s="297">
        <f>ROUND(F905*0.1,0)</f>
        <v>31778</v>
      </c>
    </row>
    <row r="891" spans="1:12" x14ac:dyDescent="0.2">
      <c r="B891" s="263"/>
      <c r="C891" s="290"/>
      <c r="D891" s="265"/>
      <c r="E891" s="291"/>
      <c r="F891" s="292"/>
      <c r="G891" s="292"/>
      <c r="H891" s="293"/>
      <c r="I891" s="265"/>
      <c r="J891" s="294"/>
      <c r="K891" s="292"/>
      <c r="L891" s="293"/>
    </row>
    <row r="892" spans="1:12" x14ac:dyDescent="0.2">
      <c r="A892" s="264">
        <v>15</v>
      </c>
      <c r="B892" s="263" t="s">
        <v>57</v>
      </c>
      <c r="C892" s="290">
        <v>69911</v>
      </c>
      <c r="D892" s="265"/>
      <c r="E892" s="326">
        <f>ROUND((E905+E901+E899+E897+E903+E894)/6,0)</f>
        <v>3</v>
      </c>
      <c r="F892" s="292">
        <f>F858*E892</f>
        <v>209733</v>
      </c>
      <c r="G892" s="292"/>
      <c r="H892" s="293">
        <f t="shared" ref="H892" si="108">SUM(F892+G892)</f>
        <v>209733</v>
      </c>
      <c r="I892" s="265"/>
      <c r="J892" s="291"/>
      <c r="K892" s="296">
        <f>ROUND(F892*((+E$49+E$51+E$53)/(E$49+E$51+E$53+E$55)),0)</f>
        <v>132115</v>
      </c>
      <c r="L892" s="297">
        <f>ROUND((+F892*(E$55/(+E$49+E$51+E$53+E$55))),0)</f>
        <v>77618</v>
      </c>
    </row>
    <row r="893" spans="1:12" x14ac:dyDescent="0.2">
      <c r="B893" s="263"/>
      <c r="C893" s="290"/>
      <c r="D893" s="265"/>
      <c r="E893" s="291"/>
      <c r="F893" s="292"/>
      <c r="G893" s="292"/>
      <c r="H893" s="293"/>
      <c r="I893" s="265"/>
      <c r="J893" s="294"/>
      <c r="K893" s="292"/>
      <c r="L893" s="293"/>
    </row>
    <row r="894" spans="1:12" x14ac:dyDescent="0.2">
      <c r="A894" s="301">
        <v>16</v>
      </c>
      <c r="B894" s="301" t="s">
        <v>160</v>
      </c>
      <c r="C894" s="290">
        <v>42470</v>
      </c>
      <c r="D894" s="265"/>
      <c r="E894" s="326">
        <f>ROUNDUP((E905+E901+E899+E897+E903)/6,0)</f>
        <v>3</v>
      </c>
      <c r="F894" s="327">
        <f>F859*E894</f>
        <v>127410</v>
      </c>
      <c r="H894" s="293">
        <f t="shared" ref="H894" si="109">SUM(F894+G894)</f>
        <v>127410</v>
      </c>
      <c r="I894" s="265"/>
      <c r="J894" s="294"/>
      <c r="K894" s="296">
        <f>ROUND(F894*((+E$49+E$51+E$53)/(E$49+E$51+E$53+E$55)),0)</f>
        <v>80258</v>
      </c>
      <c r="L894" s="297">
        <f>ROUND((+F894*(E$55/(+E$49+E$51+E$53+E$55))),0)</f>
        <v>47152</v>
      </c>
    </row>
    <row r="895" spans="1:12" x14ac:dyDescent="0.2">
      <c r="B895" s="263"/>
      <c r="C895" s="290"/>
      <c r="D895" s="265"/>
      <c r="E895" s="291"/>
      <c r="F895" s="292"/>
      <c r="G895" s="292"/>
      <c r="H895" s="293"/>
      <c r="I895" s="265"/>
      <c r="J895" s="294"/>
      <c r="K895" s="292"/>
      <c r="L895" s="293"/>
    </row>
    <row r="896" spans="1:12" ht="15.75" x14ac:dyDescent="0.25">
      <c r="A896" s="282" t="s">
        <v>115</v>
      </c>
      <c r="B896" s="263"/>
      <c r="C896" s="290"/>
      <c r="D896" s="265"/>
      <c r="E896" s="291"/>
      <c r="F896" s="292"/>
      <c r="G896" s="292"/>
      <c r="H896" s="293"/>
      <c r="I896" s="265"/>
      <c r="J896" s="294"/>
      <c r="K896" s="292"/>
      <c r="L896" s="293"/>
    </row>
    <row r="897" spans="1:12" x14ac:dyDescent="0.2">
      <c r="A897" s="300">
        <v>17</v>
      </c>
      <c r="B897" s="301" t="s">
        <v>60</v>
      </c>
      <c r="C897" s="302">
        <v>63555</v>
      </c>
      <c r="D897" s="303"/>
      <c r="E897" s="304">
        <f>ROUND(C853/30,0)</f>
        <v>3</v>
      </c>
      <c r="F897" s="305">
        <f>F857*E897</f>
        <v>190665</v>
      </c>
      <c r="G897" s="305"/>
      <c r="H897" s="293">
        <f t="shared" ref="H897" si="110">SUM(F897+G897)</f>
        <v>190665</v>
      </c>
      <c r="I897" s="303"/>
      <c r="J897" s="306"/>
      <c r="K897" s="292">
        <f>SUM(E897*F857)</f>
        <v>190665</v>
      </c>
      <c r="L897" s="293"/>
    </row>
    <row r="898" spans="1:12" x14ac:dyDescent="0.2">
      <c r="A898" s="301"/>
      <c r="B898" s="301"/>
      <c r="C898" s="290"/>
      <c r="D898" s="265"/>
      <c r="E898" s="291"/>
      <c r="F898" s="292"/>
      <c r="G898" s="292"/>
      <c r="H898" s="293"/>
      <c r="I898" s="265"/>
      <c r="J898" s="294"/>
      <c r="K898" s="292"/>
      <c r="L898" s="293"/>
    </row>
    <row r="899" spans="1:12" ht="30" x14ac:dyDescent="0.2">
      <c r="A899" s="300">
        <v>18</v>
      </c>
      <c r="B899" s="301" t="s">
        <v>61</v>
      </c>
      <c r="C899" s="290">
        <v>63555</v>
      </c>
      <c r="D899" s="265"/>
      <c r="E899" s="291">
        <f>1</f>
        <v>1</v>
      </c>
      <c r="F899" s="292">
        <f>F857*E899</f>
        <v>63555</v>
      </c>
      <c r="G899" s="292"/>
      <c r="H899" s="293">
        <f t="shared" ref="H899" si="111">SUM(F899+G899)</f>
        <v>63555</v>
      </c>
      <c r="I899" s="265"/>
      <c r="J899" s="294" t="s">
        <v>62</v>
      </c>
      <c r="K899" s="292">
        <f>SUM(E899*F857)</f>
        <v>63555</v>
      </c>
      <c r="L899" s="293"/>
    </row>
    <row r="900" spans="1:12" x14ac:dyDescent="0.2">
      <c r="A900" s="301"/>
      <c r="B900" s="301"/>
      <c r="C900" s="290"/>
      <c r="D900" s="265"/>
      <c r="E900" s="291"/>
      <c r="F900" s="292"/>
      <c r="G900" s="292"/>
      <c r="H900" s="293"/>
      <c r="I900" s="265"/>
      <c r="J900" s="294"/>
      <c r="K900" s="292"/>
      <c r="L900" s="293"/>
    </row>
    <row r="901" spans="1:12" x14ac:dyDescent="0.2">
      <c r="A901" s="301">
        <v>19</v>
      </c>
      <c r="B901" s="301" t="s">
        <v>63</v>
      </c>
      <c r="C901" s="290">
        <v>63555</v>
      </c>
      <c r="D901" s="265"/>
      <c r="E901" s="291">
        <f>ROUND(C853/20,0)</f>
        <v>4</v>
      </c>
      <c r="F901" s="292">
        <f>F857*E901</f>
        <v>254220</v>
      </c>
      <c r="G901" s="292"/>
      <c r="H901" s="293">
        <f t="shared" ref="H901" si="112">SUM(F901+G901)</f>
        <v>254220</v>
      </c>
      <c r="I901" s="265"/>
      <c r="J901" s="294"/>
      <c r="K901" s="292">
        <f>SUM(E901*F857)</f>
        <v>254220</v>
      </c>
      <c r="L901" s="293"/>
    </row>
    <row r="902" spans="1:12" x14ac:dyDescent="0.2">
      <c r="A902" s="301"/>
      <c r="B902" s="301"/>
      <c r="C902" s="290"/>
      <c r="D902" s="265"/>
      <c r="E902" s="291"/>
      <c r="F902" s="292"/>
      <c r="G902" s="292"/>
      <c r="H902" s="293"/>
      <c r="I902" s="265"/>
      <c r="J902" s="294"/>
      <c r="K902" s="292"/>
      <c r="L902" s="293"/>
    </row>
    <row r="903" spans="1:12" x14ac:dyDescent="0.2">
      <c r="A903" s="301">
        <v>20</v>
      </c>
      <c r="B903" s="301" t="s">
        <v>111</v>
      </c>
      <c r="C903" s="290">
        <v>63555</v>
      </c>
      <c r="D903" s="265"/>
      <c r="E903" s="328">
        <f>ROUNDDOWN(C854/40,0)</f>
        <v>2</v>
      </c>
      <c r="F903" s="292">
        <f>F857*E903</f>
        <v>127110</v>
      </c>
      <c r="G903" s="292"/>
      <c r="H903" s="293">
        <f t="shared" ref="H903" si="113">SUM(F903+G903)</f>
        <v>127110</v>
      </c>
      <c r="I903" s="290"/>
      <c r="K903" s="265">
        <f>SUM(E903*F857)</f>
        <v>127110</v>
      </c>
      <c r="L903" s="329"/>
    </row>
    <row r="904" spans="1:12" x14ac:dyDescent="0.2">
      <c r="A904" s="301"/>
      <c r="B904" s="301"/>
      <c r="C904" s="290"/>
      <c r="D904" s="265"/>
      <c r="E904" s="291"/>
      <c r="F904" s="292"/>
      <c r="G904" s="292"/>
      <c r="H904" s="293"/>
      <c r="I904" s="290"/>
      <c r="L904" s="329"/>
    </row>
    <row r="905" spans="1:12" x14ac:dyDescent="0.2">
      <c r="A905" s="301">
        <v>21</v>
      </c>
      <c r="B905" s="301" t="s">
        <v>112</v>
      </c>
      <c r="C905" s="290">
        <v>63555</v>
      </c>
      <c r="D905" s="265"/>
      <c r="E905" s="328">
        <f>ROUND(C854/20,0)</f>
        <v>5</v>
      </c>
      <c r="F905" s="292">
        <f>SUM(E905*F857)</f>
        <v>317775</v>
      </c>
      <c r="H905" s="293">
        <f t="shared" ref="H905" si="114">SUM(F905+G905)</f>
        <v>317775</v>
      </c>
      <c r="I905" s="290"/>
      <c r="K905" s="265"/>
      <c r="L905" s="293">
        <f>SUM(H905)</f>
        <v>317775</v>
      </c>
    </row>
    <row r="906" spans="1:12" x14ac:dyDescent="0.2">
      <c r="A906" s="301"/>
      <c r="B906" s="301"/>
      <c r="C906" s="290"/>
      <c r="D906" s="265"/>
      <c r="E906" s="291"/>
      <c r="F906" s="292"/>
      <c r="H906" s="293"/>
      <c r="I906" s="290"/>
      <c r="L906" s="329"/>
    </row>
    <row r="907" spans="1:12" x14ac:dyDescent="0.2">
      <c r="A907" s="301">
        <v>22</v>
      </c>
      <c r="B907" s="301" t="s">
        <v>155</v>
      </c>
      <c r="C907" s="295"/>
      <c r="D907" s="307"/>
      <c r="E907" s="291"/>
      <c r="F907" s="292"/>
      <c r="G907" s="292">
        <f>ROUND(175*C852,0)</f>
        <v>260225</v>
      </c>
      <c r="H907" s="293">
        <f t="shared" ref="H907" si="115">SUM(F907+G907)</f>
        <v>260225</v>
      </c>
      <c r="I907" s="265"/>
      <c r="J907" s="294" t="s">
        <v>62</v>
      </c>
      <c r="K907" s="292">
        <f>ROUND(175/2*C852,0)</f>
        <v>130113</v>
      </c>
      <c r="L907" s="293">
        <f>ROUND(175/2*C852,0)</f>
        <v>130113</v>
      </c>
    </row>
    <row r="908" spans="1:12" x14ac:dyDescent="0.2">
      <c r="A908" s="301"/>
      <c r="B908" s="301"/>
      <c r="C908" s="290"/>
      <c r="D908" s="265"/>
      <c r="E908" s="291"/>
      <c r="F908" s="292"/>
      <c r="G908" s="292"/>
      <c r="H908" s="293"/>
      <c r="I908" s="265"/>
      <c r="J908" s="294"/>
      <c r="K908" s="292"/>
      <c r="L908" s="293"/>
    </row>
    <row r="909" spans="1:12" x14ac:dyDescent="0.2">
      <c r="A909" s="301">
        <v>23</v>
      </c>
      <c r="B909" s="301" t="s">
        <v>66</v>
      </c>
      <c r="C909" s="290">
        <v>11500</v>
      </c>
      <c r="D909" s="265"/>
      <c r="E909" s="291"/>
      <c r="F909" s="292"/>
      <c r="G909" s="292">
        <f>(E866+E892+E903+E897+E899+E901+E905+E894)*11500</f>
        <v>253000</v>
      </c>
      <c r="H909" s="293">
        <f>SUM(F909:G909)</f>
        <v>253000</v>
      </c>
      <c r="I909" s="265"/>
      <c r="J909" s="323">
        <f>ROUND(11500*E866,0)</f>
        <v>11500</v>
      </c>
      <c r="K909" s="296">
        <f>(ROUND(11500*(+E901+E899+E897+E903+E892+E894),0))</f>
        <v>184000</v>
      </c>
      <c r="L909" s="297">
        <f>ROUND(11500*E905,0)</f>
        <v>57500</v>
      </c>
    </row>
    <row r="910" spans="1:12" x14ac:dyDescent="0.2">
      <c r="A910" s="301"/>
      <c r="B910" s="301"/>
      <c r="C910" s="290"/>
      <c r="D910" s="265"/>
      <c r="E910" s="291"/>
      <c r="G910" s="292"/>
      <c r="H910" s="293"/>
      <c r="J910" s="294"/>
      <c r="K910" s="296"/>
      <c r="L910" s="297"/>
    </row>
    <row r="911" spans="1:12" x14ac:dyDescent="0.2">
      <c r="A911" s="301">
        <v>24</v>
      </c>
      <c r="B911" s="301" t="s">
        <v>82</v>
      </c>
      <c r="C911" s="290"/>
      <c r="D911" s="265"/>
      <c r="E911" s="291"/>
      <c r="G911" s="292">
        <v>57500</v>
      </c>
      <c r="H911" s="293">
        <f t="shared" ref="H911" si="116">SUM(F911+G911)</f>
        <v>57500</v>
      </c>
      <c r="I911" s="330"/>
      <c r="J911" s="292"/>
      <c r="K911" s="296"/>
      <c r="L911" s="297">
        <f>+H911</f>
        <v>57500</v>
      </c>
    </row>
    <row r="912" spans="1:12" ht="15.75" thickBot="1" x14ac:dyDescent="0.25">
      <c r="B912" s="331"/>
      <c r="C912" s="332"/>
      <c r="D912" s="265"/>
      <c r="E912" s="291"/>
      <c r="H912" s="293"/>
      <c r="I912" s="333"/>
      <c r="J912" s="265"/>
      <c r="L912" s="293"/>
    </row>
    <row r="913" spans="1:12" ht="16.5" thickBot="1" x14ac:dyDescent="0.3">
      <c r="B913" s="334" t="s">
        <v>67</v>
      </c>
      <c r="C913" s="335"/>
      <c r="D913" s="336"/>
      <c r="E913" s="337">
        <f>SUM(E863:E912)</f>
        <v>27</v>
      </c>
      <c r="F913" s="336">
        <f>SUM(F863:F911)</f>
        <v>2129088.4131</v>
      </c>
      <c r="G913" s="336">
        <f>SUM(G864:G911)</f>
        <v>1089288</v>
      </c>
      <c r="H913" s="338">
        <f>SUM(H864:H912)</f>
        <v>3218376.4131</v>
      </c>
      <c r="I913" s="336"/>
      <c r="J913" s="339">
        <f>SUM(J864:J911)</f>
        <v>570287</v>
      </c>
      <c r="K913" s="336">
        <f>SUM(K864:K912)</f>
        <v>1736093</v>
      </c>
      <c r="L913" s="340">
        <f>SUM(L863:L912)</f>
        <v>911998</v>
      </c>
    </row>
    <row r="914" spans="1:12" ht="15.75" x14ac:dyDescent="0.25">
      <c r="B914" s="272"/>
      <c r="C914" s="271"/>
      <c r="D914" s="271"/>
      <c r="E914" s="274"/>
      <c r="J914" s="265"/>
      <c r="K914" s="265"/>
      <c r="L914" s="347"/>
    </row>
    <row r="915" spans="1:12" ht="15.75" x14ac:dyDescent="0.25">
      <c r="B915" s="318"/>
      <c r="C915" s="271"/>
      <c r="D915" s="271"/>
      <c r="E915" s="274"/>
      <c r="J915" s="265"/>
      <c r="K915" s="265"/>
      <c r="L915" s="347"/>
    </row>
    <row r="916" spans="1:12" ht="15.75" x14ac:dyDescent="0.25">
      <c r="C916" s="272"/>
      <c r="D916" s="272"/>
      <c r="E916" s="274"/>
      <c r="L916" s="347"/>
    </row>
    <row r="918" spans="1:12" x14ac:dyDescent="0.2">
      <c r="A918" s="262"/>
      <c r="B918" s="263"/>
    </row>
    <row r="919" spans="1:12" ht="15.75" x14ac:dyDescent="0.25">
      <c r="A919" s="266" t="s">
        <v>24</v>
      </c>
      <c r="B919" s="267"/>
      <c r="C919" s="320" t="s">
        <v>96</v>
      </c>
    </row>
    <row r="920" spans="1:12" ht="15.75" x14ac:dyDescent="0.25">
      <c r="A920" s="266" t="s">
        <v>106</v>
      </c>
      <c r="B920" s="263"/>
      <c r="E920" s="357" t="s">
        <v>97</v>
      </c>
    </row>
    <row r="921" spans="1:12" x14ac:dyDescent="0.2">
      <c r="B921" s="263"/>
      <c r="C921" s="268"/>
      <c r="D921" s="268"/>
    </row>
    <row r="922" spans="1:12" x14ac:dyDescent="0.2">
      <c r="B922" s="263"/>
      <c r="C922" s="269"/>
      <c r="D922" s="269"/>
    </row>
    <row r="923" spans="1:12" ht="15.75" x14ac:dyDescent="0.25">
      <c r="A923" s="264" t="s">
        <v>27</v>
      </c>
      <c r="B923" s="263"/>
      <c r="C923" s="270">
        <v>721</v>
      </c>
      <c r="D923" s="270" t="s">
        <v>79</v>
      </c>
      <c r="E923" s="271"/>
    </row>
    <row r="924" spans="1:12" ht="15.75" x14ac:dyDescent="0.25">
      <c r="A924" s="264" t="s">
        <v>28</v>
      </c>
      <c r="B924" s="263"/>
      <c r="C924" s="270">
        <f>SUM(C923*0.06)</f>
        <v>43.26</v>
      </c>
      <c r="D924" s="268"/>
      <c r="E924" s="271"/>
    </row>
    <row r="925" spans="1:12" ht="15.75" x14ac:dyDescent="0.25">
      <c r="A925" s="264" t="s">
        <v>29</v>
      </c>
      <c r="B925" s="263"/>
      <c r="C925" s="270">
        <v>48.06666666666667</v>
      </c>
      <c r="D925" s="270"/>
      <c r="E925" s="271"/>
    </row>
    <row r="926" spans="1:12" ht="15.75" x14ac:dyDescent="0.25">
      <c r="B926" s="263" t="s">
        <v>30</v>
      </c>
      <c r="C926" s="270">
        <v>4</v>
      </c>
      <c r="D926" s="268"/>
      <c r="E926" s="271"/>
    </row>
    <row r="927" spans="1:12" x14ac:dyDescent="0.2">
      <c r="B927" s="263"/>
    </row>
    <row r="928" spans="1:12" x14ac:dyDescent="0.2">
      <c r="A928" s="271" t="s">
        <v>107</v>
      </c>
      <c r="B928" s="272"/>
      <c r="D928" s="273"/>
      <c r="F928" s="273">
        <v>63555</v>
      </c>
      <c r="I928" s="265"/>
    </row>
    <row r="929" spans="1:12" x14ac:dyDescent="0.2">
      <c r="A929" s="271" t="s">
        <v>108</v>
      </c>
      <c r="B929" s="272"/>
      <c r="D929" s="273"/>
      <c r="F929" s="273">
        <v>69911</v>
      </c>
      <c r="I929" s="265"/>
    </row>
    <row r="930" spans="1:12" x14ac:dyDescent="0.2">
      <c r="A930" s="271" t="s">
        <v>109</v>
      </c>
      <c r="B930" s="272"/>
      <c r="D930" s="273"/>
      <c r="F930" s="273">
        <v>42470</v>
      </c>
      <c r="I930" s="265"/>
    </row>
    <row r="931" spans="1:12" x14ac:dyDescent="0.2">
      <c r="A931" s="271"/>
      <c r="B931" s="272"/>
      <c r="C931" s="274"/>
      <c r="D931" s="274"/>
      <c r="I931" s="265"/>
    </row>
    <row r="932" spans="1:12" ht="15.75" x14ac:dyDescent="0.25">
      <c r="B932" s="263"/>
      <c r="J932" s="275" t="s">
        <v>34</v>
      </c>
      <c r="K932" s="419" t="s">
        <v>35</v>
      </c>
      <c r="L932" s="421"/>
    </row>
    <row r="933" spans="1:12" ht="15.75" x14ac:dyDescent="0.25">
      <c r="A933" s="266" t="s">
        <v>36</v>
      </c>
      <c r="B933" s="276"/>
      <c r="C933" s="277" t="s">
        <v>80</v>
      </c>
      <c r="D933" s="278"/>
      <c r="E933" s="275" t="s">
        <v>38</v>
      </c>
      <c r="F933" s="275" t="s">
        <v>39</v>
      </c>
      <c r="G933" s="275" t="s">
        <v>40</v>
      </c>
      <c r="H933" s="279" t="s">
        <v>0</v>
      </c>
      <c r="I933" s="280"/>
      <c r="J933" s="277" t="s">
        <v>41</v>
      </c>
      <c r="K933" s="281" t="s">
        <v>42</v>
      </c>
      <c r="L933" s="275" t="s">
        <v>43</v>
      </c>
    </row>
    <row r="934" spans="1:12" ht="15.75" x14ac:dyDescent="0.25">
      <c r="A934" s="282"/>
      <c r="B934" s="276"/>
      <c r="C934" s="283"/>
      <c r="D934" s="278"/>
      <c r="E934" s="284"/>
      <c r="F934" s="285"/>
      <c r="G934" s="285"/>
      <c r="H934" s="286"/>
      <c r="I934" s="280"/>
      <c r="J934" s="287"/>
      <c r="K934" s="288"/>
      <c r="L934" s="289"/>
    </row>
    <row r="935" spans="1:12" x14ac:dyDescent="0.2">
      <c r="A935" s="264">
        <v>1</v>
      </c>
      <c r="B935" s="263" t="s">
        <v>44</v>
      </c>
      <c r="C935" s="290">
        <v>50000</v>
      </c>
      <c r="D935" s="265"/>
      <c r="E935" s="291"/>
      <c r="F935" s="292"/>
      <c r="G935" s="292">
        <f>+C935</f>
        <v>50000</v>
      </c>
      <c r="H935" s="293">
        <f>SUM(F935+G935)</f>
        <v>50000</v>
      </c>
      <c r="I935" s="265"/>
      <c r="J935" s="294">
        <f>+H935</f>
        <v>50000</v>
      </c>
      <c r="K935" s="292"/>
      <c r="L935" s="293"/>
    </row>
    <row r="936" spans="1:12" x14ac:dyDescent="0.2">
      <c r="B936" s="263"/>
      <c r="C936" s="290"/>
      <c r="D936" s="265"/>
      <c r="E936" s="291"/>
      <c r="F936" s="292"/>
      <c r="G936" s="292"/>
      <c r="H936" s="293"/>
      <c r="I936" s="265"/>
      <c r="J936" s="294"/>
      <c r="K936" s="292"/>
      <c r="L936" s="293"/>
    </row>
    <row r="937" spans="1:12" x14ac:dyDescent="0.2">
      <c r="A937" s="264">
        <v>2</v>
      </c>
      <c r="B937" s="263" t="s">
        <v>45</v>
      </c>
      <c r="C937" s="290">
        <v>89606</v>
      </c>
      <c r="D937" s="265"/>
      <c r="E937" s="291">
        <v>1</v>
      </c>
      <c r="F937" s="292">
        <f>+C937*E937</f>
        <v>89606</v>
      </c>
      <c r="G937" s="292"/>
      <c r="H937" s="293">
        <f>SUM(F937+G937)</f>
        <v>89606</v>
      </c>
      <c r="I937" s="265"/>
      <c r="J937" s="294">
        <f>+H937</f>
        <v>89606</v>
      </c>
      <c r="K937" s="292"/>
      <c r="L937" s="293"/>
    </row>
    <row r="938" spans="1:12" x14ac:dyDescent="0.2">
      <c r="B938" s="263"/>
      <c r="C938" s="290"/>
      <c r="D938" s="265"/>
      <c r="E938" s="291"/>
      <c r="F938" s="292"/>
      <c r="G938" s="292"/>
      <c r="H938" s="293"/>
      <c r="I938" s="265"/>
      <c r="J938" s="294"/>
      <c r="K938" s="292"/>
      <c r="L938" s="293"/>
    </row>
    <row r="939" spans="1:12" x14ac:dyDescent="0.2">
      <c r="A939" s="264">
        <v>3</v>
      </c>
      <c r="B939" s="301" t="s">
        <v>176</v>
      </c>
      <c r="C939" s="290">
        <v>69911</v>
      </c>
      <c r="D939" s="265"/>
      <c r="E939" s="291">
        <v>1</v>
      </c>
      <c r="F939" s="292">
        <f>+C939*E939</f>
        <v>69911</v>
      </c>
      <c r="G939" s="292"/>
      <c r="H939" s="293">
        <f>SUM(F939+G939)</f>
        <v>69911</v>
      </c>
      <c r="I939" s="265"/>
      <c r="J939" s="294"/>
      <c r="K939" s="292"/>
      <c r="L939" s="293">
        <f>$H$92</f>
        <v>69911</v>
      </c>
    </row>
    <row r="940" spans="1:12" x14ac:dyDescent="0.2">
      <c r="B940" s="263"/>
      <c r="C940" s="290"/>
      <c r="D940" s="265"/>
      <c r="E940" s="291"/>
      <c r="F940" s="292"/>
      <c r="G940" s="292"/>
      <c r="H940" s="293"/>
      <c r="I940" s="265"/>
      <c r="J940" s="294"/>
      <c r="K940" s="292"/>
      <c r="L940" s="293"/>
    </row>
    <row r="941" spans="1:12" x14ac:dyDescent="0.2">
      <c r="A941" s="264">
        <v>4</v>
      </c>
      <c r="B941" s="263" t="s">
        <v>46</v>
      </c>
      <c r="C941" s="290">
        <v>45865</v>
      </c>
      <c r="D941" s="265"/>
      <c r="E941" s="291">
        <v>1</v>
      </c>
      <c r="F941" s="292">
        <f>+C941*E941</f>
        <v>45865</v>
      </c>
      <c r="G941" s="292"/>
      <c r="H941" s="293">
        <f>SUM(F941+G941)</f>
        <v>45865</v>
      </c>
      <c r="I941" s="265"/>
      <c r="J941" s="294">
        <f>+H941</f>
        <v>45865</v>
      </c>
      <c r="K941" s="292"/>
      <c r="L941" s="293"/>
    </row>
    <row r="942" spans="1:12" x14ac:dyDescent="0.2">
      <c r="B942" s="263"/>
      <c r="C942" s="290"/>
      <c r="D942" s="265"/>
      <c r="E942" s="291"/>
      <c r="F942" s="292"/>
      <c r="G942" s="292"/>
      <c r="H942" s="293"/>
      <c r="I942" s="265"/>
      <c r="J942" s="294"/>
      <c r="K942" s="292"/>
      <c r="L942" s="293"/>
    </row>
    <row r="943" spans="1:12" x14ac:dyDescent="0.2">
      <c r="A943" s="264">
        <v>5</v>
      </c>
      <c r="B943" s="263" t="s">
        <v>47</v>
      </c>
      <c r="C943" s="290">
        <v>42470</v>
      </c>
      <c r="D943" s="265"/>
      <c r="E943" s="291">
        <v>1</v>
      </c>
      <c r="F943" s="292">
        <f>+C943*E943</f>
        <v>42470</v>
      </c>
      <c r="G943" s="292"/>
      <c r="H943" s="293">
        <f>SUM(F943+G943)</f>
        <v>42470</v>
      </c>
      <c r="I943" s="265"/>
      <c r="J943" s="294">
        <f>+H943</f>
        <v>42470</v>
      </c>
      <c r="K943" s="292"/>
      <c r="L943" s="293"/>
    </row>
    <row r="944" spans="1:12" x14ac:dyDescent="0.2">
      <c r="B944" s="263"/>
      <c r="C944" s="290"/>
      <c r="D944" s="265"/>
      <c r="E944" s="291"/>
      <c r="F944" s="292"/>
      <c r="G944" s="292"/>
      <c r="H944" s="293"/>
      <c r="I944" s="265"/>
      <c r="J944" s="294"/>
      <c r="K944" s="292"/>
      <c r="L944" s="293"/>
    </row>
    <row r="945" spans="1:12" x14ac:dyDescent="0.2">
      <c r="A945" s="264">
        <v>6</v>
      </c>
      <c r="B945" s="263" t="s">
        <v>113</v>
      </c>
      <c r="C945" s="290">
        <v>57775</v>
      </c>
      <c r="D945" s="265"/>
      <c r="E945" s="291">
        <v>1</v>
      </c>
      <c r="F945" s="292">
        <f>+C945*E945</f>
        <v>57775</v>
      </c>
      <c r="G945" s="292"/>
      <c r="H945" s="293">
        <f>SUM(F945+G945)</f>
        <v>57775</v>
      </c>
      <c r="I945" s="265"/>
      <c r="J945" s="294">
        <f>+H945</f>
        <v>57775</v>
      </c>
      <c r="K945" s="292"/>
      <c r="L945" s="293"/>
    </row>
    <row r="946" spans="1:12" x14ac:dyDescent="0.2">
      <c r="B946" s="263"/>
      <c r="C946" s="290"/>
      <c r="D946" s="265"/>
      <c r="E946" s="291"/>
      <c r="F946" s="292"/>
      <c r="G946" s="292"/>
      <c r="H946" s="293"/>
      <c r="I946" s="265"/>
      <c r="J946" s="294"/>
      <c r="K946" s="292"/>
      <c r="L946" s="293"/>
    </row>
    <row r="947" spans="1:12" x14ac:dyDescent="0.2">
      <c r="A947" s="264">
        <v>7</v>
      </c>
      <c r="B947" s="263" t="s">
        <v>151</v>
      </c>
      <c r="C947" s="273">
        <v>42470</v>
      </c>
      <c r="D947" s="265"/>
      <c r="E947" s="322">
        <f>ROUND(C924/100,0)</f>
        <v>0</v>
      </c>
      <c r="F947" s="292">
        <f>SUM(E947*C947)</f>
        <v>0</v>
      </c>
      <c r="G947" s="292"/>
      <c r="H947" s="293">
        <f>SUM(F947+G947)</f>
        <v>0</v>
      </c>
      <c r="I947" s="265"/>
      <c r="J947" s="293">
        <f>SUM(H947+I947)</f>
        <v>0</v>
      </c>
      <c r="K947" s="296"/>
      <c r="L947" s="297"/>
    </row>
    <row r="948" spans="1:12" x14ac:dyDescent="0.2">
      <c r="B948" s="263" t="s">
        <v>199</v>
      </c>
      <c r="C948" s="273"/>
      <c r="D948" s="265"/>
      <c r="E948" s="322"/>
      <c r="F948" s="292"/>
      <c r="G948" s="292">
        <v>10200</v>
      </c>
      <c r="H948" s="293">
        <v>10200</v>
      </c>
      <c r="I948" s="265"/>
      <c r="J948" s="292">
        <v>10200</v>
      </c>
      <c r="K948" s="292"/>
      <c r="L948" s="293"/>
    </row>
    <row r="949" spans="1:12" x14ac:dyDescent="0.2">
      <c r="A949" s="264">
        <v>8</v>
      </c>
      <c r="B949" s="263" t="s">
        <v>50</v>
      </c>
      <c r="C949" s="290">
        <v>15000</v>
      </c>
      <c r="D949" s="265"/>
      <c r="E949" s="291"/>
      <c r="F949" s="292"/>
      <c r="G949" s="292">
        <f>+C949</f>
        <v>15000</v>
      </c>
      <c r="H949" s="293">
        <f>SUM(F949+G949)</f>
        <v>15000</v>
      </c>
      <c r="I949" s="265"/>
      <c r="J949" s="323">
        <f>+H949</f>
        <v>15000</v>
      </c>
      <c r="K949" s="292"/>
      <c r="L949" s="293"/>
    </row>
    <row r="950" spans="1:12" x14ac:dyDescent="0.2">
      <c r="B950" s="263"/>
      <c r="C950" s="290"/>
      <c r="D950" s="265"/>
      <c r="E950" s="291"/>
      <c r="F950" s="292"/>
      <c r="G950" s="292"/>
      <c r="H950" s="293"/>
      <c r="I950" s="265"/>
      <c r="J950" s="323"/>
      <c r="K950" s="292"/>
      <c r="L950" s="293"/>
    </row>
    <row r="951" spans="1:12" x14ac:dyDescent="0.2">
      <c r="A951" s="264">
        <v>9</v>
      </c>
      <c r="B951" s="263" t="s">
        <v>51</v>
      </c>
      <c r="C951" s="290">
        <v>30000</v>
      </c>
      <c r="D951" s="265"/>
      <c r="E951" s="291"/>
      <c r="F951" s="292"/>
      <c r="G951" s="292">
        <f>+C951</f>
        <v>30000</v>
      </c>
      <c r="H951" s="293">
        <f>SUM(F951+G951)</f>
        <v>30000</v>
      </c>
      <c r="I951" s="265"/>
      <c r="J951" s="323">
        <f>+H951</f>
        <v>30000</v>
      </c>
      <c r="K951" s="292"/>
      <c r="L951" s="293"/>
    </row>
    <row r="952" spans="1:12" x14ac:dyDescent="0.2">
      <c r="B952" s="263"/>
      <c r="C952" s="290"/>
      <c r="D952" s="265"/>
      <c r="E952" s="291"/>
      <c r="F952" s="292"/>
      <c r="G952" s="292"/>
      <c r="H952" s="293"/>
      <c r="I952" s="265"/>
      <c r="J952" s="323"/>
      <c r="K952" s="292"/>
      <c r="L952" s="293"/>
    </row>
    <row r="953" spans="1:12" x14ac:dyDescent="0.2">
      <c r="A953" s="264">
        <v>10</v>
      </c>
      <c r="B953" s="263" t="s">
        <v>52</v>
      </c>
      <c r="C953" s="290">
        <v>40000</v>
      </c>
      <c r="D953" s="265"/>
      <c r="E953" s="291"/>
      <c r="F953" s="292"/>
      <c r="G953" s="292">
        <f>+C953</f>
        <v>40000</v>
      </c>
      <c r="H953" s="293">
        <f>SUM(F953+G953)</f>
        <v>40000</v>
      </c>
      <c r="I953" s="265"/>
      <c r="J953" s="323">
        <f>+H953</f>
        <v>40000</v>
      </c>
      <c r="K953" s="292"/>
      <c r="L953" s="293"/>
    </row>
    <row r="954" spans="1:12" x14ac:dyDescent="0.2">
      <c r="B954" s="263"/>
      <c r="C954" s="290"/>
      <c r="D954" s="265"/>
      <c r="E954" s="291"/>
      <c r="F954" s="292"/>
      <c r="G954" s="292"/>
      <c r="H954" s="293"/>
      <c r="I954" s="265"/>
      <c r="J954" s="294"/>
      <c r="K954" s="292"/>
      <c r="L954" s="293"/>
    </row>
    <row r="955" spans="1:12" x14ac:dyDescent="0.2">
      <c r="A955" s="264">
        <v>11</v>
      </c>
      <c r="B955" s="263" t="s">
        <v>53</v>
      </c>
      <c r="C955" s="290"/>
      <c r="D955" s="265"/>
      <c r="E955" s="291"/>
      <c r="F955" s="292"/>
      <c r="G955" s="292">
        <f>ROUND((F937+F939+F941+F943+F945+F957+F961+F963+F968+F970+F972+F974+F947+F976+F965)*0.15,0)</f>
        <v>188306</v>
      </c>
      <c r="H955" s="293">
        <f>SUM(G955)</f>
        <v>188306</v>
      </c>
      <c r="I955" s="265"/>
      <c r="J955" s="323">
        <f>ROUND((SUM(F937:F947)*0.15),0)</f>
        <v>45844</v>
      </c>
      <c r="K955" s="324">
        <f>ROUND(SUM(F957:F972,F974)*0.15,0)</f>
        <v>123396</v>
      </c>
      <c r="L955" s="325">
        <f>ROUND(F976*0.15,0)</f>
        <v>19067</v>
      </c>
    </row>
    <row r="956" spans="1:12" x14ac:dyDescent="0.2">
      <c r="B956" s="263"/>
      <c r="C956" s="290"/>
      <c r="D956" s="265"/>
      <c r="E956" s="291"/>
      <c r="F956" s="292"/>
      <c r="G956" s="292"/>
      <c r="H956" s="293"/>
      <c r="I956" s="265"/>
      <c r="J956" s="294"/>
      <c r="K956" s="296"/>
      <c r="L956" s="297"/>
    </row>
    <row r="957" spans="1:12" x14ac:dyDescent="0.2">
      <c r="A957" s="264">
        <v>12</v>
      </c>
      <c r="B957" s="263" t="s">
        <v>54</v>
      </c>
      <c r="C957" s="290"/>
      <c r="D957" s="265"/>
      <c r="E957" s="291"/>
      <c r="F957" s="292">
        <f>(F937+F939+F941+F943+F961+F945+F963++F968+F970+F972+F976+F947+F974+F965)*0.2045</f>
        <v>213137.81414999999</v>
      </c>
      <c r="G957" s="292"/>
      <c r="H957" s="293">
        <f>(F937+F939+F941+F943+F945+F961+F963+F968+F970+F972+F976+F947+F974+F965)*0.2045</f>
        <v>213137.81414999999</v>
      </c>
      <c r="I957" s="265"/>
      <c r="J957" s="323">
        <f>ROUND((SUM(F937:F947)*0.2045),0)</f>
        <v>62501</v>
      </c>
      <c r="K957" s="324">
        <f>ROUND((SUM(F961:F974)*0.2045),0)</f>
        <v>124643</v>
      </c>
      <c r="L957" s="325">
        <f>ROUND(F976*0.2045,0)</f>
        <v>25994</v>
      </c>
    </row>
    <row r="958" spans="1:12" x14ac:dyDescent="0.2">
      <c r="B958" s="263"/>
      <c r="C958" s="290"/>
      <c r="D958" s="265"/>
      <c r="E958" s="291"/>
      <c r="F958" s="292"/>
      <c r="G958" s="292"/>
      <c r="H958" s="293"/>
      <c r="I958" s="265"/>
      <c r="J958" s="294"/>
      <c r="K958" s="296"/>
      <c r="L958" s="297"/>
    </row>
    <row r="959" spans="1:12" x14ac:dyDescent="0.2">
      <c r="A959" s="264">
        <v>13</v>
      </c>
      <c r="B959" s="263" t="s">
        <v>55</v>
      </c>
      <c r="C959" s="290">
        <v>2000</v>
      </c>
      <c r="D959" s="265"/>
      <c r="E959" s="291"/>
      <c r="F959" s="292"/>
      <c r="G959" s="292">
        <f>E984*2000</f>
        <v>32000</v>
      </c>
      <c r="H959" s="293">
        <f t="shared" ref="H959" si="117">SUM(F959+G959)</f>
        <v>32000</v>
      </c>
      <c r="I959" s="265"/>
      <c r="J959" s="294">
        <f>(E937+E939+E941+E943+E945+E947)*2000</f>
        <v>10000</v>
      </c>
      <c r="K959" s="296">
        <f>ROUND(SUM(E963,E968,E970,E972,E974,E965)*2000,0)</f>
        <v>18000</v>
      </c>
      <c r="L959" s="297">
        <f>ROUND(E976*2000,0)</f>
        <v>4000</v>
      </c>
    </row>
    <row r="960" spans="1:12" x14ac:dyDescent="0.2">
      <c r="B960" s="263"/>
      <c r="C960" s="290"/>
      <c r="D960" s="265"/>
      <c r="E960" s="291"/>
      <c r="F960" s="292"/>
      <c r="G960" s="292"/>
      <c r="H960" s="293"/>
      <c r="I960" s="265"/>
      <c r="J960" s="294"/>
      <c r="K960" s="296"/>
      <c r="L960" s="297"/>
    </row>
    <row r="961" spans="1:12" ht="49.5" customHeight="1" x14ac:dyDescent="0.2">
      <c r="A961" s="264">
        <v>14</v>
      </c>
      <c r="B961" s="263" t="s">
        <v>114</v>
      </c>
      <c r="C961" s="290"/>
      <c r="D961" s="265"/>
      <c r="E961" s="291"/>
      <c r="F961" s="292">
        <f>(F968+F972+F974+F963+F965+F976+F970)*0.1</f>
        <v>66964.7</v>
      </c>
      <c r="G961" s="292"/>
      <c r="H961" s="293">
        <f>SUM(F961+G961)</f>
        <v>66964.7</v>
      </c>
      <c r="I961" s="265"/>
      <c r="J961" s="294"/>
      <c r="K961" s="296">
        <f>ROUND((+F963+F968+F972+F974+F965+F970)*0.1,0)</f>
        <v>54254</v>
      </c>
      <c r="L961" s="297">
        <f>ROUND(F976*0.1,0)</f>
        <v>12711</v>
      </c>
    </row>
    <row r="962" spans="1:12" x14ac:dyDescent="0.2">
      <c r="B962" s="263"/>
      <c r="C962" s="290"/>
      <c r="D962" s="265"/>
      <c r="E962" s="291"/>
      <c r="F962" s="292"/>
      <c r="G962" s="292"/>
      <c r="H962" s="293"/>
      <c r="I962" s="265"/>
      <c r="J962" s="294"/>
      <c r="K962" s="292"/>
      <c r="L962" s="293"/>
    </row>
    <row r="963" spans="1:12" x14ac:dyDescent="0.2">
      <c r="A963" s="264">
        <v>15</v>
      </c>
      <c r="B963" s="263" t="s">
        <v>57</v>
      </c>
      <c r="C963" s="290">
        <v>69911</v>
      </c>
      <c r="D963" s="265"/>
      <c r="E963" s="326">
        <f>ROUND((E976+E972+E970+E968+E974+E965)/6,0)</f>
        <v>2</v>
      </c>
      <c r="F963" s="292">
        <f>F929*E963</f>
        <v>139822</v>
      </c>
      <c r="G963" s="292"/>
      <c r="H963" s="293">
        <f t="shared" ref="H963" si="118">SUM(F963+G963)</f>
        <v>139822</v>
      </c>
      <c r="I963" s="265"/>
      <c r="J963" s="291"/>
      <c r="K963" s="296">
        <f>ROUND(F963*((+E$49+E$51+E$53)/(E$49+E$51+E$53+E$55)),0)</f>
        <v>88077</v>
      </c>
      <c r="L963" s="297">
        <f>ROUND((+F963*(E$55/(+E$49+E$51+E$53+E$55))),0)</f>
        <v>51745</v>
      </c>
    </row>
    <row r="964" spans="1:12" x14ac:dyDescent="0.2">
      <c r="B964" s="263"/>
      <c r="C964" s="290"/>
      <c r="D964" s="265"/>
      <c r="E964" s="291"/>
      <c r="F964" s="292"/>
      <c r="G964" s="292"/>
      <c r="H964" s="293"/>
      <c r="I964" s="265"/>
      <c r="J964" s="294"/>
      <c r="K964" s="292"/>
      <c r="L964" s="293"/>
    </row>
    <row r="965" spans="1:12" x14ac:dyDescent="0.2">
      <c r="A965" s="301">
        <v>16</v>
      </c>
      <c r="B965" s="301" t="s">
        <v>160</v>
      </c>
      <c r="C965" s="290">
        <v>42470</v>
      </c>
      <c r="D965" s="265"/>
      <c r="E965" s="326">
        <f>ROUNDUP((E976+E972+E970+E968+E974)/6,0)</f>
        <v>2</v>
      </c>
      <c r="F965" s="327">
        <f>F930*E965</f>
        <v>84940</v>
      </c>
      <c r="H965" s="293">
        <f t="shared" ref="H965" si="119">SUM(F965+G965)</f>
        <v>84940</v>
      </c>
      <c r="I965" s="265"/>
      <c r="J965" s="294"/>
      <c r="K965" s="296">
        <f>ROUND(F965*((+E$49+E$51+E$53)/(E$49+E$51+E$53+E$55)),0)</f>
        <v>53506</v>
      </c>
      <c r="L965" s="297">
        <f>ROUND((+F965*(E$55/(+E$49+E$51+E$53+E$55))),0)</f>
        <v>31434</v>
      </c>
    </row>
    <row r="966" spans="1:12" x14ac:dyDescent="0.2">
      <c r="B966" s="263"/>
      <c r="C966" s="290"/>
      <c r="D966" s="265"/>
      <c r="E966" s="291"/>
      <c r="F966" s="292"/>
      <c r="G966" s="292"/>
      <c r="H966" s="293"/>
      <c r="I966" s="265"/>
      <c r="J966" s="294"/>
      <c r="K966" s="292"/>
      <c r="L966" s="293"/>
    </row>
    <row r="967" spans="1:12" ht="15.75" x14ac:dyDescent="0.25">
      <c r="A967" s="282" t="s">
        <v>115</v>
      </c>
      <c r="B967" s="263"/>
      <c r="C967" s="290"/>
      <c r="D967" s="265"/>
      <c r="E967" s="291"/>
      <c r="F967" s="292"/>
      <c r="G967" s="292"/>
      <c r="H967" s="293"/>
      <c r="I967" s="265"/>
      <c r="J967" s="294"/>
      <c r="K967" s="292"/>
      <c r="L967" s="293"/>
    </row>
    <row r="968" spans="1:12" x14ac:dyDescent="0.2">
      <c r="A968" s="300">
        <v>17</v>
      </c>
      <c r="B968" s="301" t="s">
        <v>60</v>
      </c>
      <c r="C968" s="302">
        <v>63555</v>
      </c>
      <c r="D968" s="303"/>
      <c r="E968" s="304">
        <f>ROUND(C924/30,0)</f>
        <v>1</v>
      </c>
      <c r="F968" s="305">
        <f>F928*E968</f>
        <v>63555</v>
      </c>
      <c r="G968" s="305"/>
      <c r="H968" s="293">
        <f t="shared" ref="H968" si="120">SUM(F968+G968)</f>
        <v>63555</v>
      </c>
      <c r="I968" s="303"/>
      <c r="J968" s="306"/>
      <c r="K968" s="292">
        <f>SUM(E968*F928)</f>
        <v>63555</v>
      </c>
      <c r="L968" s="293"/>
    </row>
    <row r="969" spans="1:12" x14ac:dyDescent="0.2">
      <c r="A969" s="301"/>
      <c r="B969" s="301"/>
      <c r="C969" s="290"/>
      <c r="D969" s="265"/>
      <c r="E969" s="291"/>
      <c r="F969" s="292"/>
      <c r="G969" s="292"/>
      <c r="H969" s="293"/>
      <c r="I969" s="265"/>
      <c r="J969" s="294"/>
      <c r="K969" s="292"/>
      <c r="L969" s="293"/>
    </row>
    <row r="970" spans="1:12" ht="30" x14ac:dyDescent="0.2">
      <c r="A970" s="300">
        <v>18</v>
      </c>
      <c r="B970" s="301" t="s">
        <v>61</v>
      </c>
      <c r="C970" s="290">
        <v>63555</v>
      </c>
      <c r="D970" s="265"/>
      <c r="E970" s="291">
        <f>1</f>
        <v>1</v>
      </c>
      <c r="F970" s="292">
        <f>F928*E970</f>
        <v>63555</v>
      </c>
      <c r="G970" s="292"/>
      <c r="H970" s="293">
        <f t="shared" ref="H970" si="121">SUM(F970+G970)</f>
        <v>63555</v>
      </c>
      <c r="I970" s="265"/>
      <c r="J970" s="294" t="s">
        <v>62</v>
      </c>
      <c r="K970" s="292">
        <f>SUM(E970*F928)</f>
        <v>63555</v>
      </c>
      <c r="L970" s="293"/>
    </row>
    <row r="971" spans="1:12" x14ac:dyDescent="0.2">
      <c r="A971" s="301"/>
      <c r="B971" s="301"/>
      <c r="C971" s="290"/>
      <c r="D971" s="265"/>
      <c r="E971" s="291"/>
      <c r="F971" s="292"/>
      <c r="G971" s="292"/>
      <c r="H971" s="293"/>
      <c r="I971" s="265"/>
      <c r="J971" s="294"/>
      <c r="K971" s="292"/>
      <c r="L971" s="293"/>
    </row>
    <row r="972" spans="1:12" x14ac:dyDescent="0.2">
      <c r="A972" s="301">
        <v>19</v>
      </c>
      <c r="B972" s="301" t="s">
        <v>63</v>
      </c>
      <c r="C972" s="290">
        <v>63555</v>
      </c>
      <c r="D972" s="265"/>
      <c r="E972" s="291">
        <f>ROUND(C924/20,0)</f>
        <v>2</v>
      </c>
      <c r="F972" s="292">
        <f>F928*E972</f>
        <v>127110</v>
      </c>
      <c r="G972" s="292"/>
      <c r="H972" s="293">
        <f t="shared" ref="H972" si="122">SUM(F972+G972)</f>
        <v>127110</v>
      </c>
      <c r="I972" s="265"/>
      <c r="J972" s="294"/>
      <c r="K972" s="292">
        <f>SUM(E972*F928)</f>
        <v>127110</v>
      </c>
      <c r="L972" s="293"/>
    </row>
    <row r="973" spans="1:12" x14ac:dyDescent="0.2">
      <c r="A973" s="301"/>
      <c r="B973" s="301"/>
      <c r="C973" s="290"/>
      <c r="D973" s="265"/>
      <c r="E973" s="291"/>
      <c r="F973" s="292"/>
      <c r="G973" s="292"/>
      <c r="H973" s="293"/>
      <c r="I973" s="265"/>
      <c r="J973" s="294"/>
      <c r="K973" s="292"/>
      <c r="L973" s="293"/>
    </row>
    <row r="974" spans="1:12" x14ac:dyDescent="0.2">
      <c r="A974" s="301">
        <v>20</v>
      </c>
      <c r="B974" s="301" t="s">
        <v>111</v>
      </c>
      <c r="C974" s="290">
        <v>63555</v>
      </c>
      <c r="D974" s="265"/>
      <c r="E974" s="328">
        <f>ROUNDDOWN(C925/40,0)</f>
        <v>1</v>
      </c>
      <c r="F974" s="292">
        <f>F928*E974</f>
        <v>63555</v>
      </c>
      <c r="G974" s="292"/>
      <c r="H974" s="293">
        <f t="shared" ref="H974" si="123">SUM(F974+G974)</f>
        <v>63555</v>
      </c>
      <c r="I974" s="290"/>
      <c r="K974" s="265">
        <f>SUM(E974*F928)</f>
        <v>63555</v>
      </c>
      <c r="L974" s="329"/>
    </row>
    <row r="975" spans="1:12" x14ac:dyDescent="0.2">
      <c r="A975" s="301"/>
      <c r="B975" s="301"/>
      <c r="C975" s="290"/>
      <c r="D975" s="265"/>
      <c r="E975" s="291"/>
      <c r="F975" s="292"/>
      <c r="G975" s="292"/>
      <c r="H975" s="293"/>
      <c r="I975" s="290"/>
      <c r="L975" s="329"/>
    </row>
    <row r="976" spans="1:12" x14ac:dyDescent="0.2">
      <c r="A976" s="301">
        <v>21</v>
      </c>
      <c r="B976" s="301" t="s">
        <v>112</v>
      </c>
      <c r="C976" s="290">
        <v>63555</v>
      </c>
      <c r="D976" s="265"/>
      <c r="E976" s="328">
        <f>ROUND(C925/20,0)</f>
        <v>2</v>
      </c>
      <c r="F976" s="292">
        <f>SUM(E976*F928)</f>
        <v>127110</v>
      </c>
      <c r="H976" s="293">
        <f t="shared" ref="H976" si="124">SUM(F976+G976)</f>
        <v>127110</v>
      </c>
      <c r="I976" s="290"/>
      <c r="K976" s="265"/>
      <c r="L976" s="293">
        <f>SUM(H976)</f>
        <v>127110</v>
      </c>
    </row>
    <row r="977" spans="1:12" x14ac:dyDescent="0.2">
      <c r="A977" s="301"/>
      <c r="B977" s="301"/>
      <c r="C977" s="290"/>
      <c r="D977" s="265"/>
      <c r="E977" s="291"/>
      <c r="F977" s="292"/>
      <c r="H977" s="293"/>
      <c r="I977" s="290"/>
      <c r="L977" s="329"/>
    </row>
    <row r="978" spans="1:12" x14ac:dyDescent="0.2">
      <c r="A978" s="301">
        <v>22</v>
      </c>
      <c r="B978" s="301" t="s">
        <v>155</v>
      </c>
      <c r="C978" s="295"/>
      <c r="D978" s="307"/>
      <c r="E978" s="291"/>
      <c r="F978" s="292"/>
      <c r="G978" s="292">
        <f>ROUND(175*C923,0)</f>
        <v>126175</v>
      </c>
      <c r="H978" s="293">
        <f t="shared" ref="H978" si="125">SUM(F978+G978)</f>
        <v>126175</v>
      </c>
      <c r="I978" s="265"/>
      <c r="J978" s="294" t="s">
        <v>62</v>
      </c>
      <c r="K978" s="292">
        <f>ROUND(175/2*C923,0)</f>
        <v>63088</v>
      </c>
      <c r="L978" s="293">
        <f>ROUND(175/2*C923,0)</f>
        <v>63088</v>
      </c>
    </row>
    <row r="979" spans="1:12" x14ac:dyDescent="0.2">
      <c r="A979" s="301"/>
      <c r="B979" s="301"/>
      <c r="C979" s="290"/>
      <c r="D979" s="265"/>
      <c r="E979" s="291"/>
      <c r="F979" s="292"/>
      <c r="G979" s="292"/>
      <c r="H979" s="293"/>
      <c r="I979" s="265"/>
      <c r="J979" s="294"/>
      <c r="K979" s="292"/>
      <c r="L979" s="293"/>
    </row>
    <row r="980" spans="1:12" x14ac:dyDescent="0.2">
      <c r="A980" s="301">
        <v>23</v>
      </c>
      <c r="B980" s="301" t="s">
        <v>66</v>
      </c>
      <c r="C980" s="290">
        <v>11500</v>
      </c>
      <c r="D980" s="265"/>
      <c r="E980" s="291"/>
      <c r="F980" s="292"/>
      <c r="G980" s="292">
        <f>(E937+E963+E974+E968+E970+E972+E976+E965)*11500</f>
        <v>138000</v>
      </c>
      <c r="H980" s="293">
        <f>SUM(F980:G980)</f>
        <v>138000</v>
      </c>
      <c r="I980" s="265"/>
      <c r="J980" s="323">
        <f>ROUND(11500*E937,0)</f>
        <v>11500</v>
      </c>
      <c r="K980" s="296">
        <f>(ROUND(11500*(+E972+E970+E968+E974+E963+E965),0))</f>
        <v>103500</v>
      </c>
      <c r="L980" s="297">
        <f>ROUND(11500*E976,0)</f>
        <v>23000</v>
      </c>
    </row>
    <row r="981" spans="1:12" x14ac:dyDescent="0.2">
      <c r="A981" s="301"/>
      <c r="B981" s="301"/>
      <c r="C981" s="290"/>
      <c r="D981" s="265"/>
      <c r="E981" s="291"/>
      <c r="G981" s="292"/>
      <c r="H981" s="293"/>
      <c r="J981" s="294"/>
      <c r="K981" s="296"/>
      <c r="L981" s="297"/>
    </row>
    <row r="982" spans="1:12" x14ac:dyDescent="0.2">
      <c r="A982" s="301">
        <v>24</v>
      </c>
      <c r="B982" s="301" t="s">
        <v>82</v>
      </c>
      <c r="C982" s="290"/>
      <c r="D982" s="265"/>
      <c r="E982" s="291"/>
      <c r="G982" s="292">
        <v>10350</v>
      </c>
      <c r="H982" s="292">
        <v>10350</v>
      </c>
      <c r="I982" s="330"/>
      <c r="J982" s="292"/>
      <c r="K982" s="296"/>
      <c r="L982" s="297">
        <f>+H982</f>
        <v>10350</v>
      </c>
    </row>
    <row r="983" spans="1:12" ht="15.75" thickBot="1" x14ac:dyDescent="0.25">
      <c r="B983" s="331"/>
      <c r="C983" s="332"/>
      <c r="D983" s="265"/>
      <c r="E983" s="291"/>
      <c r="H983" s="293"/>
      <c r="I983" s="333"/>
      <c r="J983" s="265"/>
      <c r="L983" s="293"/>
    </row>
    <row r="984" spans="1:12" ht="16.5" thickBot="1" x14ac:dyDescent="0.3">
      <c r="B984" s="334" t="s">
        <v>67</v>
      </c>
      <c r="C984" s="335"/>
      <c r="D984" s="336"/>
      <c r="E984" s="337">
        <f>SUM(E934:E983)</f>
        <v>16</v>
      </c>
      <c r="F984" s="336">
        <f>SUM(F934:F982)</f>
        <v>1255376.5141499999</v>
      </c>
      <c r="G984" s="336">
        <f>SUM(G935:G982)</f>
        <v>640031</v>
      </c>
      <c r="H984" s="338">
        <f>SUM(H935:H983)</f>
        <v>1895407.5141499999</v>
      </c>
      <c r="I984" s="336"/>
      <c r="J984" s="339">
        <f>SUM(J935:J982)</f>
        <v>510761</v>
      </c>
      <c r="K984" s="336">
        <f>SUM(K935:K983)</f>
        <v>946239</v>
      </c>
      <c r="L984" s="340">
        <f>SUM(L934:L983)</f>
        <v>438410</v>
      </c>
    </row>
    <row r="985" spans="1:12" x14ac:dyDescent="0.2">
      <c r="B985" s="272"/>
      <c r="C985" s="271"/>
      <c r="D985" s="271"/>
      <c r="G985" s="264" t="s">
        <v>207</v>
      </c>
      <c r="J985" s="345">
        <f>SUM(J984*0.875)</f>
        <v>446915.875</v>
      </c>
    </row>
    <row r="986" spans="1:12" ht="15.75" x14ac:dyDescent="0.25">
      <c r="B986" s="318"/>
      <c r="C986" s="271"/>
      <c r="D986" s="271"/>
      <c r="E986" s="274"/>
      <c r="J986" s="265"/>
      <c r="K986" s="265"/>
      <c r="L986" s="347"/>
    </row>
    <row r="987" spans="1:12" ht="15.75" x14ac:dyDescent="0.25">
      <c r="C987" s="272"/>
      <c r="D987" s="272"/>
      <c r="E987" s="274"/>
      <c r="L987" s="347"/>
    </row>
    <row r="989" spans="1:12" x14ac:dyDescent="0.2">
      <c r="A989" s="262"/>
      <c r="B989" s="263"/>
    </row>
    <row r="990" spans="1:12" ht="15.75" x14ac:dyDescent="0.25">
      <c r="A990" s="266" t="s">
        <v>24</v>
      </c>
      <c r="B990" s="267"/>
      <c r="C990" s="320" t="s">
        <v>98</v>
      </c>
    </row>
    <row r="991" spans="1:12" ht="15.75" x14ac:dyDescent="0.25">
      <c r="A991" s="266" t="s">
        <v>106</v>
      </c>
      <c r="B991" s="263"/>
    </row>
    <row r="992" spans="1:12" x14ac:dyDescent="0.2">
      <c r="B992" s="263"/>
      <c r="C992" s="268"/>
      <c r="D992" s="268"/>
    </row>
    <row r="993" spans="1:12" x14ac:dyDescent="0.2">
      <c r="B993" s="263"/>
      <c r="C993" s="269"/>
      <c r="D993" s="269"/>
    </row>
    <row r="994" spans="1:12" ht="15.75" x14ac:dyDescent="0.25">
      <c r="A994" s="264" t="s">
        <v>27</v>
      </c>
      <c r="B994" s="263"/>
      <c r="C994" s="270">
        <v>1792</v>
      </c>
      <c r="D994" s="270" t="s">
        <v>79</v>
      </c>
      <c r="E994" s="271"/>
    </row>
    <row r="995" spans="1:12" ht="15.75" x14ac:dyDescent="0.25">
      <c r="A995" s="264" t="s">
        <v>28</v>
      </c>
      <c r="B995" s="263"/>
      <c r="C995" s="270">
        <v>107.52</v>
      </c>
      <c r="D995" s="268"/>
      <c r="E995" s="271"/>
    </row>
    <row r="996" spans="1:12" ht="15.75" x14ac:dyDescent="0.25">
      <c r="A996" s="264" t="s">
        <v>29</v>
      </c>
      <c r="B996" s="263"/>
      <c r="C996" s="270">
        <v>119.46666666666668</v>
      </c>
      <c r="D996" s="270"/>
      <c r="E996" s="271"/>
    </row>
    <row r="997" spans="1:12" ht="15.75" x14ac:dyDescent="0.25">
      <c r="B997" s="263" t="s">
        <v>30</v>
      </c>
      <c r="C997" s="270">
        <v>7</v>
      </c>
      <c r="D997" s="268"/>
      <c r="E997" s="271"/>
    </row>
    <row r="998" spans="1:12" x14ac:dyDescent="0.2">
      <c r="B998" s="263"/>
    </row>
    <row r="999" spans="1:12" x14ac:dyDescent="0.2">
      <c r="A999" s="271" t="s">
        <v>107</v>
      </c>
      <c r="B999" s="272"/>
      <c r="D999" s="273"/>
      <c r="F999" s="273">
        <v>63555</v>
      </c>
      <c r="I999" s="265"/>
    </row>
    <row r="1000" spans="1:12" x14ac:dyDescent="0.2">
      <c r="A1000" s="271" t="s">
        <v>108</v>
      </c>
      <c r="B1000" s="272"/>
      <c r="D1000" s="273"/>
      <c r="F1000" s="273">
        <v>69911</v>
      </c>
      <c r="I1000" s="265"/>
    </row>
    <row r="1001" spans="1:12" x14ac:dyDescent="0.2">
      <c r="A1001" s="271" t="s">
        <v>109</v>
      </c>
      <c r="B1001" s="272"/>
      <c r="D1001" s="273"/>
      <c r="F1001" s="273">
        <v>42470</v>
      </c>
      <c r="I1001" s="265"/>
    </row>
    <row r="1002" spans="1:12" x14ac:dyDescent="0.2">
      <c r="A1002" s="271"/>
      <c r="B1002" s="272"/>
      <c r="C1002" s="274"/>
      <c r="D1002" s="274"/>
      <c r="I1002" s="265"/>
    </row>
    <row r="1003" spans="1:12" ht="15.75" x14ac:dyDescent="0.25">
      <c r="B1003" s="263"/>
      <c r="J1003" s="275" t="s">
        <v>34</v>
      </c>
      <c r="K1003" s="419" t="s">
        <v>35</v>
      </c>
      <c r="L1003" s="421"/>
    </row>
    <row r="1004" spans="1:12" ht="15.75" x14ac:dyDescent="0.25">
      <c r="A1004" s="266" t="s">
        <v>36</v>
      </c>
      <c r="B1004" s="276"/>
      <c r="C1004" s="277" t="s">
        <v>80</v>
      </c>
      <c r="D1004" s="278"/>
      <c r="E1004" s="275" t="s">
        <v>38</v>
      </c>
      <c r="F1004" s="275" t="s">
        <v>39</v>
      </c>
      <c r="G1004" s="275" t="s">
        <v>40</v>
      </c>
      <c r="H1004" s="279" t="s">
        <v>0</v>
      </c>
      <c r="I1004" s="280"/>
      <c r="J1004" s="277" t="s">
        <v>41</v>
      </c>
      <c r="K1004" s="281" t="s">
        <v>42</v>
      </c>
      <c r="L1004" s="275" t="s">
        <v>43</v>
      </c>
    </row>
    <row r="1005" spans="1:12" ht="15.75" x14ac:dyDescent="0.25">
      <c r="A1005" s="282"/>
      <c r="B1005" s="276"/>
      <c r="C1005" s="283"/>
      <c r="D1005" s="278"/>
      <c r="E1005" s="284"/>
      <c r="F1005" s="285"/>
      <c r="G1005" s="285"/>
      <c r="H1005" s="286"/>
      <c r="I1005" s="280"/>
      <c r="J1005" s="287"/>
      <c r="K1005" s="288"/>
      <c r="L1005" s="289"/>
    </row>
    <row r="1006" spans="1:12" x14ac:dyDescent="0.2">
      <c r="A1006" s="264">
        <v>1</v>
      </c>
      <c r="B1006" s="263" t="s">
        <v>44</v>
      </c>
      <c r="C1006" s="290">
        <v>50000</v>
      </c>
      <c r="D1006" s="265"/>
      <c r="E1006" s="291"/>
      <c r="F1006" s="292"/>
      <c r="G1006" s="292">
        <f>+C1006</f>
        <v>50000</v>
      </c>
      <c r="H1006" s="293">
        <f>SUM(F1006+G1006)</f>
        <v>50000</v>
      </c>
      <c r="I1006" s="265"/>
      <c r="J1006" s="294">
        <f>+H1006</f>
        <v>50000</v>
      </c>
      <c r="K1006" s="292"/>
      <c r="L1006" s="293"/>
    </row>
    <row r="1007" spans="1:12" x14ac:dyDescent="0.2">
      <c r="B1007" s="263"/>
      <c r="C1007" s="290"/>
      <c r="D1007" s="265"/>
      <c r="E1007" s="291"/>
      <c r="F1007" s="292"/>
      <c r="G1007" s="292"/>
      <c r="H1007" s="293"/>
      <c r="I1007" s="265"/>
      <c r="J1007" s="294"/>
      <c r="K1007" s="292"/>
      <c r="L1007" s="293"/>
    </row>
    <row r="1008" spans="1:12" x14ac:dyDescent="0.2">
      <c r="A1008" s="264">
        <v>2</v>
      </c>
      <c r="B1008" s="263" t="s">
        <v>45</v>
      </c>
      <c r="C1008" s="290">
        <v>89606</v>
      </c>
      <c r="D1008" s="265"/>
      <c r="E1008" s="291">
        <v>1</v>
      </c>
      <c r="F1008" s="292">
        <f>+C1008*E1008</f>
        <v>89606</v>
      </c>
      <c r="G1008" s="292"/>
      <c r="H1008" s="293">
        <f>SUM(F1008+G1008)</f>
        <v>89606</v>
      </c>
      <c r="I1008" s="265"/>
      <c r="J1008" s="294">
        <f>+H1008</f>
        <v>89606</v>
      </c>
      <c r="K1008" s="292"/>
      <c r="L1008" s="293"/>
    </row>
    <row r="1009" spans="1:12" x14ac:dyDescent="0.2">
      <c r="B1009" s="263"/>
      <c r="C1009" s="290"/>
      <c r="D1009" s="265"/>
      <c r="E1009" s="291"/>
      <c r="F1009" s="292"/>
      <c r="G1009" s="292"/>
      <c r="H1009" s="293"/>
      <c r="I1009" s="265"/>
      <c r="J1009" s="294"/>
      <c r="K1009" s="292"/>
      <c r="L1009" s="293"/>
    </row>
    <row r="1010" spans="1:12" x14ac:dyDescent="0.2">
      <c r="A1010" s="264">
        <v>3</v>
      </c>
      <c r="B1010" s="301" t="s">
        <v>176</v>
      </c>
      <c r="C1010" s="290">
        <v>69911</v>
      </c>
      <c r="D1010" s="265"/>
      <c r="E1010" s="291">
        <v>1</v>
      </c>
      <c r="F1010" s="292">
        <f>+C1010*E1010</f>
        <v>69911</v>
      </c>
      <c r="G1010" s="292"/>
      <c r="H1010" s="293">
        <f>SUM(F1010+G1010)</f>
        <v>69911</v>
      </c>
      <c r="I1010" s="265"/>
      <c r="J1010" s="294"/>
      <c r="K1010" s="292"/>
      <c r="L1010" s="293">
        <f>$H$92</f>
        <v>69911</v>
      </c>
    </row>
    <row r="1011" spans="1:12" x14ac:dyDescent="0.2">
      <c r="B1011" s="263"/>
      <c r="C1011" s="290"/>
      <c r="D1011" s="265"/>
      <c r="E1011" s="291"/>
      <c r="F1011" s="292"/>
      <c r="G1011" s="292"/>
      <c r="H1011" s="293"/>
      <c r="I1011" s="265"/>
      <c r="J1011" s="294"/>
      <c r="K1011" s="292"/>
      <c r="L1011" s="293"/>
    </row>
    <row r="1012" spans="1:12" x14ac:dyDescent="0.2">
      <c r="A1012" s="264">
        <v>4</v>
      </c>
      <c r="B1012" s="263" t="s">
        <v>46</v>
      </c>
      <c r="C1012" s="290">
        <v>45865</v>
      </c>
      <c r="D1012" s="265"/>
      <c r="E1012" s="291">
        <v>1</v>
      </c>
      <c r="F1012" s="292">
        <f>+C1012*E1012</f>
        <v>45865</v>
      </c>
      <c r="G1012" s="292"/>
      <c r="H1012" s="293">
        <f>SUM(F1012+G1012)</f>
        <v>45865</v>
      </c>
      <c r="I1012" s="265"/>
      <c r="J1012" s="294">
        <f>+H1012</f>
        <v>45865</v>
      </c>
      <c r="K1012" s="292"/>
      <c r="L1012" s="293"/>
    </row>
    <row r="1013" spans="1:12" x14ac:dyDescent="0.2">
      <c r="B1013" s="263"/>
      <c r="C1013" s="290"/>
      <c r="D1013" s="265"/>
      <c r="E1013" s="291"/>
      <c r="F1013" s="292"/>
      <c r="G1013" s="292"/>
      <c r="H1013" s="293"/>
      <c r="I1013" s="265"/>
      <c r="J1013" s="294"/>
      <c r="K1013" s="292"/>
      <c r="L1013" s="293"/>
    </row>
    <row r="1014" spans="1:12" x14ac:dyDescent="0.2">
      <c r="A1014" s="264">
        <v>5</v>
      </c>
      <c r="B1014" s="263" t="s">
        <v>47</v>
      </c>
      <c r="C1014" s="290">
        <v>42470</v>
      </c>
      <c r="D1014" s="265"/>
      <c r="E1014" s="291">
        <v>1</v>
      </c>
      <c r="F1014" s="292">
        <f>+C1014*E1014</f>
        <v>42470</v>
      </c>
      <c r="G1014" s="292"/>
      <c r="H1014" s="293">
        <f>SUM(F1014+G1014)</f>
        <v>42470</v>
      </c>
      <c r="I1014" s="265"/>
      <c r="J1014" s="294">
        <f>+H1014</f>
        <v>42470</v>
      </c>
      <c r="K1014" s="292"/>
      <c r="L1014" s="293"/>
    </row>
    <row r="1015" spans="1:12" x14ac:dyDescent="0.2">
      <c r="B1015" s="263"/>
      <c r="C1015" s="290"/>
      <c r="D1015" s="265"/>
      <c r="E1015" s="291"/>
      <c r="F1015" s="292"/>
      <c r="G1015" s="292"/>
      <c r="H1015" s="293"/>
      <c r="I1015" s="265"/>
      <c r="J1015" s="294"/>
      <c r="K1015" s="292"/>
      <c r="L1015" s="293"/>
    </row>
    <row r="1016" spans="1:12" x14ac:dyDescent="0.2">
      <c r="A1016" s="264">
        <v>6</v>
      </c>
      <c r="B1016" s="263" t="s">
        <v>113</v>
      </c>
      <c r="C1016" s="290">
        <v>57775</v>
      </c>
      <c r="D1016" s="265"/>
      <c r="E1016" s="291">
        <v>1</v>
      </c>
      <c r="F1016" s="292">
        <f>+C1016*E1016</f>
        <v>57775</v>
      </c>
      <c r="G1016" s="292"/>
      <c r="H1016" s="293">
        <f>SUM(F1016+G1016)</f>
        <v>57775</v>
      </c>
      <c r="I1016" s="265"/>
      <c r="J1016" s="294">
        <f>+H1016</f>
        <v>57775</v>
      </c>
      <c r="K1016" s="292"/>
      <c r="L1016" s="293"/>
    </row>
    <row r="1017" spans="1:12" x14ac:dyDescent="0.2">
      <c r="B1017" s="263"/>
      <c r="C1017" s="290"/>
      <c r="D1017" s="265"/>
      <c r="E1017" s="291"/>
      <c r="F1017" s="292"/>
      <c r="G1017" s="292"/>
      <c r="H1017" s="293"/>
      <c r="I1017" s="265"/>
      <c r="J1017" s="294"/>
      <c r="K1017" s="292"/>
      <c r="L1017" s="293"/>
    </row>
    <row r="1018" spans="1:12" x14ac:dyDescent="0.2">
      <c r="A1018" s="264">
        <v>7</v>
      </c>
      <c r="B1018" s="263" t="s">
        <v>151</v>
      </c>
      <c r="C1018" s="273">
        <v>42470</v>
      </c>
      <c r="D1018" s="265"/>
      <c r="E1018" s="322">
        <f>ROUND(C995/100,0)</f>
        <v>1</v>
      </c>
      <c r="F1018" s="292">
        <f>SUM(E1018*C1018)</f>
        <v>42470</v>
      </c>
      <c r="G1018" s="292"/>
      <c r="H1018" s="293">
        <f>SUM(F1018+G1018)</f>
        <v>42470</v>
      </c>
      <c r="I1018" s="265"/>
      <c r="J1018" s="293">
        <f>SUM(H1018+I1018)</f>
        <v>42470</v>
      </c>
      <c r="K1018" s="296"/>
      <c r="L1018" s="297"/>
    </row>
    <row r="1019" spans="1:12" x14ac:dyDescent="0.2">
      <c r="B1019" s="263" t="s">
        <v>199</v>
      </c>
      <c r="C1019" s="273"/>
      <c r="D1019" s="265"/>
      <c r="E1019" s="322"/>
      <c r="F1019" s="292"/>
      <c r="G1019" s="292">
        <v>10200</v>
      </c>
      <c r="H1019" s="293">
        <v>10200</v>
      </c>
      <c r="I1019" s="265"/>
      <c r="J1019" s="292">
        <v>10200</v>
      </c>
      <c r="K1019" s="292"/>
      <c r="L1019" s="293"/>
    </row>
    <row r="1020" spans="1:12" x14ac:dyDescent="0.2">
      <c r="A1020" s="264">
        <v>8</v>
      </c>
      <c r="B1020" s="263" t="s">
        <v>50</v>
      </c>
      <c r="C1020" s="290">
        <v>15000</v>
      </c>
      <c r="D1020" s="265"/>
      <c r="E1020" s="291"/>
      <c r="F1020" s="292"/>
      <c r="G1020" s="292">
        <f>+C1020</f>
        <v>15000</v>
      </c>
      <c r="H1020" s="293">
        <f>SUM(F1020+G1020)</f>
        <v>15000</v>
      </c>
      <c r="I1020" s="265"/>
      <c r="J1020" s="323">
        <f>+H1020</f>
        <v>15000</v>
      </c>
      <c r="K1020" s="292"/>
      <c r="L1020" s="293"/>
    </row>
    <row r="1021" spans="1:12" x14ac:dyDescent="0.2">
      <c r="B1021" s="263"/>
      <c r="C1021" s="290"/>
      <c r="D1021" s="265"/>
      <c r="E1021" s="291"/>
      <c r="F1021" s="292"/>
      <c r="G1021" s="292"/>
      <c r="H1021" s="293"/>
      <c r="I1021" s="265"/>
      <c r="J1021" s="323"/>
      <c r="K1021" s="292"/>
      <c r="L1021" s="293"/>
    </row>
    <row r="1022" spans="1:12" x14ac:dyDescent="0.2">
      <c r="A1022" s="264">
        <v>9</v>
      </c>
      <c r="B1022" s="263" t="s">
        <v>51</v>
      </c>
      <c r="C1022" s="290">
        <v>30000</v>
      </c>
      <c r="D1022" s="265"/>
      <c r="E1022" s="291"/>
      <c r="F1022" s="292"/>
      <c r="G1022" s="292">
        <f>+C1022</f>
        <v>30000</v>
      </c>
      <c r="H1022" s="293">
        <f>SUM(F1022+G1022)</f>
        <v>30000</v>
      </c>
      <c r="I1022" s="265"/>
      <c r="J1022" s="323">
        <f>+H1022</f>
        <v>30000</v>
      </c>
      <c r="K1022" s="292"/>
      <c r="L1022" s="293"/>
    </row>
    <row r="1023" spans="1:12" x14ac:dyDescent="0.2">
      <c r="B1023" s="263"/>
      <c r="C1023" s="290"/>
      <c r="D1023" s="265"/>
      <c r="E1023" s="291"/>
      <c r="F1023" s="292"/>
      <c r="G1023" s="292"/>
      <c r="H1023" s="293"/>
      <c r="I1023" s="265"/>
      <c r="J1023" s="323"/>
      <c r="K1023" s="292"/>
      <c r="L1023" s="293"/>
    </row>
    <row r="1024" spans="1:12" x14ac:dyDescent="0.2">
      <c r="A1024" s="264">
        <v>10</v>
      </c>
      <c r="B1024" s="263" t="s">
        <v>52</v>
      </c>
      <c r="C1024" s="290">
        <v>40000</v>
      </c>
      <c r="D1024" s="265"/>
      <c r="E1024" s="291"/>
      <c r="F1024" s="292"/>
      <c r="G1024" s="292">
        <f>+C1024</f>
        <v>40000</v>
      </c>
      <c r="H1024" s="293">
        <f>SUM(F1024+G1024)</f>
        <v>40000</v>
      </c>
      <c r="I1024" s="265"/>
      <c r="J1024" s="323">
        <f>+H1024</f>
        <v>40000</v>
      </c>
      <c r="K1024" s="292"/>
      <c r="L1024" s="293"/>
    </row>
    <row r="1025" spans="1:12" x14ac:dyDescent="0.2">
      <c r="B1025" s="263"/>
      <c r="C1025" s="290"/>
      <c r="D1025" s="265"/>
      <c r="E1025" s="291"/>
      <c r="F1025" s="292"/>
      <c r="G1025" s="292"/>
      <c r="H1025" s="293"/>
      <c r="I1025" s="265"/>
      <c r="J1025" s="294"/>
      <c r="K1025" s="292"/>
      <c r="L1025" s="293"/>
    </row>
    <row r="1026" spans="1:12" x14ac:dyDescent="0.2">
      <c r="A1026" s="264">
        <v>11</v>
      </c>
      <c r="B1026" s="263" t="s">
        <v>53</v>
      </c>
      <c r="C1026" s="290"/>
      <c r="D1026" s="265"/>
      <c r="E1026" s="291"/>
      <c r="F1026" s="292"/>
      <c r="G1026" s="292">
        <f>ROUND((F1008+F1010+F1012+F1014+F1016+F1028+F1032+F1034+F1039+F1041+F1043+F1045+F1018+F1047+F1036)*0.15,0)</f>
        <v>371151</v>
      </c>
      <c r="H1026" s="293">
        <f>SUM(G1026)</f>
        <v>371151</v>
      </c>
      <c r="I1026" s="265"/>
      <c r="J1026" s="323">
        <f>ROUND((SUM(F1008:F1018)*0.15),0)</f>
        <v>52215</v>
      </c>
      <c r="K1026" s="324">
        <f>ROUND(SUM(F1028:F1043,F1045)*0.15,0)</f>
        <v>261737</v>
      </c>
      <c r="L1026" s="325">
        <f>ROUND(F1047*0.15,0)</f>
        <v>57200</v>
      </c>
    </row>
    <row r="1027" spans="1:12" x14ac:dyDescent="0.2">
      <c r="B1027" s="263"/>
      <c r="C1027" s="290"/>
      <c r="D1027" s="265"/>
      <c r="E1027" s="291"/>
      <c r="F1027" s="292"/>
      <c r="G1027" s="292"/>
      <c r="H1027" s="293"/>
      <c r="I1027" s="265"/>
      <c r="J1027" s="294"/>
      <c r="K1027" s="296"/>
      <c r="L1027" s="297"/>
    </row>
    <row r="1028" spans="1:12" x14ac:dyDescent="0.2">
      <c r="A1028" s="264">
        <v>12</v>
      </c>
      <c r="B1028" s="263" t="s">
        <v>54</v>
      </c>
      <c r="C1028" s="290"/>
      <c r="D1028" s="265"/>
      <c r="E1028" s="291"/>
      <c r="F1028" s="292">
        <f>(F1008+F1010+F1012+F1014+F1032+F1016+F1034++F1039+F1041+F1043+F1047+F1018+F1045+F1036)*0.2045</f>
        <v>420093.18429999996</v>
      </c>
      <c r="G1028" s="292"/>
      <c r="H1028" s="293">
        <f>(F1008+F1010+F1012+F1014+F1016+F1032+F1034+F1039+F1041+F1043+F1047+F1018+F1045+F1036)*0.2045</f>
        <v>420093.18429999996</v>
      </c>
      <c r="I1028" s="265"/>
      <c r="J1028" s="323">
        <f>ROUND((SUM(F1008:F1018)*0.2045),0)</f>
        <v>71186</v>
      </c>
      <c r="K1028" s="324">
        <f>ROUND((SUM(F1032:F1045)*0.2045),0)</f>
        <v>270925</v>
      </c>
      <c r="L1028" s="325">
        <f>ROUND(F1047*0.2045,0)</f>
        <v>77982</v>
      </c>
    </row>
    <row r="1029" spans="1:12" x14ac:dyDescent="0.2">
      <c r="B1029" s="263"/>
      <c r="C1029" s="290"/>
      <c r="D1029" s="265"/>
      <c r="E1029" s="291"/>
      <c r="F1029" s="292"/>
      <c r="G1029" s="292"/>
      <c r="H1029" s="293"/>
      <c r="I1029" s="265"/>
      <c r="J1029" s="294"/>
      <c r="K1029" s="296"/>
      <c r="L1029" s="297"/>
    </row>
    <row r="1030" spans="1:12" x14ac:dyDescent="0.2">
      <c r="A1030" s="264">
        <v>13</v>
      </c>
      <c r="B1030" s="263" t="s">
        <v>55</v>
      </c>
      <c r="C1030" s="290">
        <v>2000</v>
      </c>
      <c r="D1030" s="265"/>
      <c r="E1030" s="291"/>
      <c r="F1030" s="292"/>
      <c r="G1030" s="292">
        <f>E1055*2000</f>
        <v>62000</v>
      </c>
      <c r="H1030" s="293">
        <f t="shared" ref="H1030" si="126">SUM(F1030+G1030)</f>
        <v>62000</v>
      </c>
      <c r="I1030" s="265"/>
      <c r="J1030" s="294">
        <f>(E1008+E1010+E1012+E1014+E1016+E1018)*2000</f>
        <v>12000</v>
      </c>
      <c r="K1030" s="296">
        <f>ROUND(SUM(E1034,E1039,E1041,E1043,E1045,E1036)*2000,0)</f>
        <v>38000</v>
      </c>
      <c r="L1030" s="297">
        <f>ROUND(E1047*2000,0)</f>
        <v>12000</v>
      </c>
    </row>
    <row r="1031" spans="1:12" x14ac:dyDescent="0.2">
      <c r="B1031" s="263"/>
      <c r="C1031" s="290"/>
      <c r="D1031" s="265"/>
      <c r="E1031" s="291"/>
      <c r="F1031" s="292"/>
      <c r="G1031" s="292"/>
      <c r="H1031" s="293"/>
      <c r="I1031" s="265"/>
      <c r="J1031" s="294"/>
      <c r="K1031" s="296"/>
      <c r="L1031" s="297"/>
    </row>
    <row r="1032" spans="1:12" ht="57" customHeight="1" x14ac:dyDescent="0.2">
      <c r="A1032" s="264">
        <v>14</v>
      </c>
      <c r="B1032" s="263" t="s">
        <v>114</v>
      </c>
      <c r="C1032" s="290"/>
      <c r="D1032" s="265"/>
      <c r="E1032" s="291"/>
      <c r="F1032" s="292">
        <f>(F1039+F1043+F1045+F1034+F1036+F1047+F1041)*0.1</f>
        <v>155104.4</v>
      </c>
      <c r="G1032" s="292"/>
      <c r="H1032" s="293">
        <f>SUM(F1032+G1032)</f>
        <v>155104.4</v>
      </c>
      <c r="I1032" s="265"/>
      <c r="J1032" s="294"/>
      <c r="K1032" s="296">
        <f>ROUND((+F1034+F1039+F1043+F1045+F1036+F1041)*0.1,0)</f>
        <v>116971</v>
      </c>
      <c r="L1032" s="297">
        <f>ROUND(F1047*0.1,0)</f>
        <v>38133</v>
      </c>
    </row>
    <row r="1033" spans="1:12" x14ac:dyDescent="0.2">
      <c r="B1033" s="263"/>
      <c r="C1033" s="290"/>
      <c r="D1033" s="265"/>
      <c r="E1033" s="291"/>
      <c r="F1033" s="292"/>
      <c r="G1033" s="292"/>
      <c r="H1033" s="293"/>
      <c r="I1033" s="265"/>
      <c r="J1033" s="294"/>
      <c r="K1033" s="292"/>
      <c r="L1033" s="293"/>
    </row>
    <row r="1034" spans="1:12" x14ac:dyDescent="0.2">
      <c r="A1034" s="264">
        <v>15</v>
      </c>
      <c r="B1034" s="263" t="s">
        <v>57</v>
      </c>
      <c r="C1034" s="290">
        <v>69911</v>
      </c>
      <c r="D1034" s="265"/>
      <c r="E1034" s="326">
        <f>ROUND((E1047+E1043+E1041+E1039+E1045+E1036)/6,0)</f>
        <v>4</v>
      </c>
      <c r="F1034" s="292">
        <f>F1000*E1034</f>
        <v>279644</v>
      </c>
      <c r="G1034" s="292"/>
      <c r="H1034" s="293">
        <f t="shared" ref="H1034" si="127">SUM(F1034+G1034)</f>
        <v>279644</v>
      </c>
      <c r="I1034" s="265"/>
      <c r="J1034" s="291"/>
      <c r="K1034" s="296">
        <f>ROUND(F1034*((+E$49+E$51+E$53)/(E$49+E$51+E$53+E$55)),0)</f>
        <v>176154</v>
      </c>
      <c r="L1034" s="297">
        <f>ROUND((+F1034*(E$55/(+E$49+E$51+E$53+E$55))),0)</f>
        <v>103490</v>
      </c>
    </row>
    <row r="1035" spans="1:12" x14ac:dyDescent="0.2">
      <c r="B1035" s="263"/>
      <c r="C1035" s="290"/>
      <c r="D1035" s="265"/>
      <c r="E1035" s="291"/>
      <c r="F1035" s="292"/>
      <c r="G1035" s="292"/>
      <c r="H1035" s="293"/>
      <c r="I1035" s="265"/>
      <c r="J1035" s="294"/>
      <c r="K1035" s="292"/>
      <c r="L1035" s="293"/>
    </row>
    <row r="1036" spans="1:12" x14ac:dyDescent="0.2">
      <c r="A1036" s="301">
        <v>16</v>
      </c>
      <c r="B1036" s="301" t="s">
        <v>160</v>
      </c>
      <c r="C1036" s="290">
        <v>42470</v>
      </c>
      <c r="D1036" s="265"/>
      <c r="E1036" s="326">
        <f>ROUNDUP((E1047+E1043+E1041+E1039+E1045)/6,0)</f>
        <v>3</v>
      </c>
      <c r="F1036" s="327">
        <f>F1001*E1036</f>
        <v>127410</v>
      </c>
      <c r="H1036" s="293">
        <f t="shared" ref="H1036" si="128">SUM(F1036+G1036)</f>
        <v>127410</v>
      </c>
      <c r="I1036" s="265"/>
      <c r="J1036" s="294"/>
      <c r="K1036" s="296">
        <f>ROUND(F1036*((+E$49+E$51+E$53)/(E$49+E$51+E$53+E$55)),0)</f>
        <v>80258</v>
      </c>
      <c r="L1036" s="297">
        <f>ROUND((+F1036*(E$55/(+E$49+E$51+E$53+E$55))),0)</f>
        <v>47152</v>
      </c>
    </row>
    <row r="1037" spans="1:12" x14ac:dyDescent="0.2">
      <c r="B1037" s="263"/>
      <c r="C1037" s="290"/>
      <c r="D1037" s="265"/>
      <c r="E1037" s="291"/>
      <c r="F1037" s="292"/>
      <c r="G1037" s="292"/>
      <c r="H1037" s="293"/>
      <c r="I1037" s="265"/>
      <c r="J1037" s="294"/>
      <c r="K1037" s="292"/>
      <c r="L1037" s="293"/>
    </row>
    <row r="1038" spans="1:12" ht="15.75" x14ac:dyDescent="0.25">
      <c r="A1038" s="282" t="s">
        <v>115</v>
      </c>
      <c r="B1038" s="263"/>
      <c r="C1038" s="290"/>
      <c r="D1038" s="265"/>
      <c r="E1038" s="291"/>
      <c r="F1038" s="292"/>
      <c r="G1038" s="292"/>
      <c r="H1038" s="293"/>
      <c r="I1038" s="265"/>
      <c r="J1038" s="294"/>
      <c r="K1038" s="292"/>
      <c r="L1038" s="293"/>
    </row>
    <row r="1039" spans="1:12" x14ac:dyDescent="0.2">
      <c r="A1039" s="300">
        <v>17</v>
      </c>
      <c r="B1039" s="301" t="s">
        <v>60</v>
      </c>
      <c r="C1039" s="302">
        <v>63555</v>
      </c>
      <c r="D1039" s="303"/>
      <c r="E1039" s="304">
        <f>ROUND(C995/30,0)</f>
        <v>4</v>
      </c>
      <c r="F1039" s="305">
        <f>F999*E1039</f>
        <v>254220</v>
      </c>
      <c r="G1039" s="305"/>
      <c r="H1039" s="293">
        <f t="shared" ref="H1039" si="129">SUM(F1039+G1039)</f>
        <v>254220</v>
      </c>
      <c r="I1039" s="303"/>
      <c r="J1039" s="306"/>
      <c r="K1039" s="292">
        <f>SUM(E1039*F999)</f>
        <v>254220</v>
      </c>
      <c r="L1039" s="293"/>
    </row>
    <row r="1040" spans="1:12" x14ac:dyDescent="0.2">
      <c r="A1040" s="301"/>
      <c r="B1040" s="301"/>
      <c r="C1040" s="290"/>
      <c r="D1040" s="265"/>
      <c r="E1040" s="291"/>
      <c r="F1040" s="292"/>
      <c r="G1040" s="292"/>
      <c r="H1040" s="293"/>
      <c r="I1040" s="265"/>
      <c r="J1040" s="294"/>
      <c r="K1040" s="292"/>
      <c r="L1040" s="293"/>
    </row>
    <row r="1041" spans="1:12" ht="30" x14ac:dyDescent="0.2">
      <c r="A1041" s="300">
        <v>18</v>
      </c>
      <c r="B1041" s="301" t="s">
        <v>61</v>
      </c>
      <c r="C1041" s="290">
        <v>63555</v>
      </c>
      <c r="D1041" s="265"/>
      <c r="E1041" s="291">
        <f>1</f>
        <v>1</v>
      </c>
      <c r="F1041" s="292">
        <f>F999*E1041</f>
        <v>63555</v>
      </c>
      <c r="G1041" s="292"/>
      <c r="H1041" s="293">
        <f t="shared" ref="H1041" si="130">SUM(F1041+G1041)</f>
        <v>63555</v>
      </c>
      <c r="I1041" s="265"/>
      <c r="J1041" s="294" t="s">
        <v>62</v>
      </c>
      <c r="K1041" s="292">
        <f>SUM(E1041*F999)</f>
        <v>63555</v>
      </c>
      <c r="L1041" s="293"/>
    </row>
    <row r="1042" spans="1:12" x14ac:dyDescent="0.2">
      <c r="A1042" s="301"/>
      <c r="B1042" s="301"/>
      <c r="C1042" s="290"/>
      <c r="D1042" s="265"/>
      <c r="E1042" s="291"/>
      <c r="F1042" s="292"/>
      <c r="G1042" s="292"/>
      <c r="H1042" s="293"/>
      <c r="I1042" s="265"/>
      <c r="J1042" s="294"/>
      <c r="K1042" s="292"/>
      <c r="L1042" s="293"/>
    </row>
    <row r="1043" spans="1:12" x14ac:dyDescent="0.2">
      <c r="A1043" s="301">
        <v>19</v>
      </c>
      <c r="B1043" s="301" t="s">
        <v>63</v>
      </c>
      <c r="C1043" s="290">
        <v>63555</v>
      </c>
      <c r="D1043" s="265"/>
      <c r="E1043" s="291">
        <f>ROUND(C995/20,0)</f>
        <v>5</v>
      </c>
      <c r="F1043" s="292">
        <f>F999*E1043</f>
        <v>317775</v>
      </c>
      <c r="G1043" s="292"/>
      <c r="H1043" s="293">
        <f t="shared" ref="H1043" si="131">SUM(F1043+G1043)</f>
        <v>317775</v>
      </c>
      <c r="I1043" s="265"/>
      <c r="J1043" s="294"/>
      <c r="K1043" s="292">
        <f>SUM(E1043*F999)</f>
        <v>317775</v>
      </c>
      <c r="L1043" s="293"/>
    </row>
    <row r="1044" spans="1:12" x14ac:dyDescent="0.2">
      <c r="A1044" s="301"/>
      <c r="B1044" s="301"/>
      <c r="C1044" s="290"/>
      <c r="D1044" s="265"/>
      <c r="E1044" s="291"/>
      <c r="F1044" s="292"/>
      <c r="G1044" s="292"/>
      <c r="H1044" s="293"/>
      <c r="I1044" s="265"/>
      <c r="J1044" s="294"/>
      <c r="K1044" s="292"/>
      <c r="L1044" s="293"/>
    </row>
    <row r="1045" spans="1:12" x14ac:dyDescent="0.2">
      <c r="A1045" s="301">
        <v>20</v>
      </c>
      <c r="B1045" s="301" t="s">
        <v>111</v>
      </c>
      <c r="C1045" s="290">
        <v>63555</v>
      </c>
      <c r="D1045" s="265"/>
      <c r="E1045" s="328">
        <f>ROUNDDOWN(C996/40,0)</f>
        <v>2</v>
      </c>
      <c r="F1045" s="292">
        <f>F999*E1045</f>
        <v>127110</v>
      </c>
      <c r="G1045" s="292"/>
      <c r="H1045" s="293">
        <f t="shared" ref="H1045" si="132">SUM(F1045+G1045)</f>
        <v>127110</v>
      </c>
      <c r="I1045" s="290"/>
      <c r="K1045" s="265">
        <f>SUM(E1045*F999)</f>
        <v>127110</v>
      </c>
      <c r="L1045" s="329"/>
    </row>
    <row r="1046" spans="1:12" x14ac:dyDescent="0.2">
      <c r="A1046" s="301"/>
      <c r="B1046" s="301"/>
      <c r="C1046" s="290"/>
      <c r="D1046" s="265"/>
      <c r="E1046" s="291"/>
      <c r="F1046" s="292"/>
      <c r="G1046" s="292"/>
      <c r="H1046" s="293"/>
      <c r="I1046" s="290"/>
      <c r="L1046" s="329"/>
    </row>
    <row r="1047" spans="1:12" x14ac:dyDescent="0.2">
      <c r="A1047" s="301">
        <v>21</v>
      </c>
      <c r="B1047" s="301" t="s">
        <v>112</v>
      </c>
      <c r="C1047" s="290">
        <v>63555</v>
      </c>
      <c r="D1047" s="265"/>
      <c r="E1047" s="328">
        <f>ROUND(C996/20,0)</f>
        <v>6</v>
      </c>
      <c r="F1047" s="292">
        <f>SUM(E1047*F999)</f>
        <v>381330</v>
      </c>
      <c r="H1047" s="293">
        <f t="shared" ref="H1047" si="133">SUM(F1047+G1047)</f>
        <v>381330</v>
      </c>
      <c r="I1047" s="290"/>
      <c r="K1047" s="265"/>
      <c r="L1047" s="293">
        <f>SUM(H1047)</f>
        <v>381330</v>
      </c>
    </row>
    <row r="1048" spans="1:12" x14ac:dyDescent="0.2">
      <c r="A1048" s="301"/>
      <c r="B1048" s="301"/>
      <c r="C1048" s="290"/>
      <c r="D1048" s="265"/>
      <c r="E1048" s="291"/>
      <c r="F1048" s="292"/>
      <c r="H1048" s="293"/>
      <c r="I1048" s="290"/>
      <c r="L1048" s="329"/>
    </row>
    <row r="1049" spans="1:12" x14ac:dyDescent="0.2">
      <c r="A1049" s="301">
        <v>22</v>
      </c>
      <c r="B1049" s="301" t="s">
        <v>155</v>
      </c>
      <c r="C1049" s="295"/>
      <c r="D1049" s="307"/>
      <c r="E1049" s="291"/>
      <c r="F1049" s="292"/>
      <c r="G1049" s="292">
        <f>ROUND(175*C994,0)</f>
        <v>313600</v>
      </c>
      <c r="H1049" s="293">
        <f t="shared" ref="H1049" si="134">SUM(F1049+G1049)</f>
        <v>313600</v>
      </c>
      <c r="I1049" s="265"/>
      <c r="J1049" s="294" t="s">
        <v>62</v>
      </c>
      <c r="K1049" s="292">
        <f>ROUND(175/2*C994,0)</f>
        <v>156800</v>
      </c>
      <c r="L1049" s="293">
        <f>ROUND(175/2*C994,0)</f>
        <v>156800</v>
      </c>
    </row>
    <row r="1050" spans="1:12" x14ac:dyDescent="0.2">
      <c r="A1050" s="301"/>
      <c r="B1050" s="301"/>
      <c r="C1050" s="290"/>
      <c r="D1050" s="265"/>
      <c r="E1050" s="291"/>
      <c r="F1050" s="292"/>
      <c r="G1050" s="292"/>
      <c r="H1050" s="293"/>
      <c r="I1050" s="265"/>
      <c r="J1050" s="294"/>
      <c r="K1050" s="292"/>
      <c r="L1050" s="293"/>
    </row>
    <row r="1051" spans="1:12" x14ac:dyDescent="0.2">
      <c r="A1051" s="301">
        <v>23</v>
      </c>
      <c r="B1051" s="301" t="s">
        <v>66</v>
      </c>
      <c r="C1051" s="290">
        <v>11500</v>
      </c>
      <c r="D1051" s="265"/>
      <c r="E1051" s="291"/>
      <c r="F1051" s="292"/>
      <c r="G1051" s="292">
        <f>(E1008+E1034+E1045+E1039+E1041+E1043+E1047+E1036)*11500</f>
        <v>299000</v>
      </c>
      <c r="H1051" s="293">
        <f>SUM(F1051:G1051)</f>
        <v>299000</v>
      </c>
      <c r="I1051" s="265"/>
      <c r="J1051" s="323">
        <f>ROUND(11500*E1008,0)</f>
        <v>11500</v>
      </c>
      <c r="K1051" s="296">
        <f>(ROUND(11500*(+E1043+E1041+E1039+E1045+E1034+E1036),0))</f>
        <v>218500</v>
      </c>
      <c r="L1051" s="297">
        <f>ROUND(11500*E1047,0)</f>
        <v>69000</v>
      </c>
    </row>
    <row r="1052" spans="1:12" x14ac:dyDescent="0.2">
      <c r="A1052" s="301"/>
      <c r="B1052" s="301"/>
      <c r="C1052" s="290"/>
      <c r="D1052" s="265"/>
      <c r="E1052" s="291"/>
      <c r="G1052" s="292"/>
      <c r="H1052" s="293"/>
      <c r="J1052" s="294"/>
      <c r="K1052" s="296"/>
      <c r="L1052" s="297"/>
    </row>
    <row r="1053" spans="1:12" x14ac:dyDescent="0.2">
      <c r="A1053" s="301">
        <v>24</v>
      </c>
      <c r="B1053" s="301" t="s">
        <v>82</v>
      </c>
      <c r="C1053" s="290"/>
      <c r="D1053" s="265"/>
      <c r="E1053" s="291"/>
      <c r="G1053" s="292">
        <v>44505</v>
      </c>
      <c r="H1053" s="293">
        <f t="shared" ref="H1053" si="135">SUM(F1053+G1053)</f>
        <v>44505</v>
      </c>
      <c r="I1053" s="330"/>
      <c r="J1053" s="292"/>
      <c r="K1053" s="296"/>
      <c r="L1053" s="297">
        <f>+H1053</f>
        <v>44505</v>
      </c>
    </row>
    <row r="1054" spans="1:12" ht="15.75" thickBot="1" x14ac:dyDescent="0.25">
      <c r="B1054" s="331"/>
      <c r="C1054" s="332"/>
      <c r="D1054" s="265"/>
      <c r="E1054" s="291"/>
      <c r="H1054" s="293"/>
      <c r="I1054" s="333"/>
      <c r="J1054" s="265"/>
      <c r="L1054" s="293"/>
    </row>
    <row r="1055" spans="1:12" ht="16.5" thickBot="1" x14ac:dyDescent="0.3">
      <c r="B1055" s="334" t="s">
        <v>67</v>
      </c>
      <c r="C1055" s="335"/>
      <c r="D1055" s="336"/>
      <c r="E1055" s="337">
        <f>SUM(E1005:E1054)</f>
        <v>31</v>
      </c>
      <c r="F1055" s="336">
        <f>SUM(F1005:F1053)</f>
        <v>2474338.5843000002</v>
      </c>
      <c r="G1055" s="336">
        <f>SUM(G1006:G1053)</f>
        <v>1235456</v>
      </c>
      <c r="H1055" s="338">
        <f>SUM(H1006:H1054)</f>
        <v>3709794.5842999998</v>
      </c>
      <c r="I1055" s="336"/>
      <c r="J1055" s="339">
        <f>SUM(J1006:J1053)</f>
        <v>570287</v>
      </c>
      <c r="K1055" s="336">
        <f>SUM(K1006:K1054)</f>
        <v>2082005</v>
      </c>
      <c r="L1055" s="340">
        <f>SUM(L1005:L1054)</f>
        <v>1057503</v>
      </c>
    </row>
    <row r="1056" spans="1:12" ht="15.75" x14ac:dyDescent="0.25">
      <c r="B1056" s="272"/>
      <c r="C1056" s="271"/>
      <c r="D1056" s="271"/>
      <c r="E1056" s="274"/>
      <c r="J1056" s="265"/>
      <c r="K1056" s="265"/>
      <c r="L1056" s="347"/>
    </row>
    <row r="1057" spans="1:12" ht="15.75" x14ac:dyDescent="0.25">
      <c r="B1057" s="318"/>
      <c r="C1057" s="271"/>
      <c r="D1057" s="271"/>
      <c r="E1057" s="274"/>
      <c r="J1057" s="265"/>
      <c r="K1057" s="265"/>
      <c r="L1057" s="347"/>
    </row>
    <row r="1058" spans="1:12" ht="15.75" x14ac:dyDescent="0.25">
      <c r="C1058" s="272"/>
      <c r="D1058" s="272"/>
      <c r="E1058" s="274"/>
      <c r="L1058" s="347"/>
    </row>
    <row r="1060" spans="1:12" x14ac:dyDescent="0.2">
      <c r="A1060" s="262"/>
      <c r="B1060" s="263"/>
    </row>
    <row r="1061" spans="1:12" ht="15.75" x14ac:dyDescent="0.25">
      <c r="A1061" s="266" t="s">
        <v>24</v>
      </c>
      <c r="B1061" s="267"/>
      <c r="C1061" s="320" t="s">
        <v>99</v>
      </c>
    </row>
    <row r="1062" spans="1:12" ht="15.75" x14ac:dyDescent="0.25">
      <c r="A1062" s="266" t="s">
        <v>106</v>
      </c>
      <c r="B1062" s="263"/>
    </row>
    <row r="1063" spans="1:12" x14ac:dyDescent="0.2">
      <c r="B1063" s="263"/>
      <c r="C1063" s="268"/>
      <c r="D1063" s="268"/>
    </row>
    <row r="1064" spans="1:12" x14ac:dyDescent="0.2">
      <c r="B1064" s="263"/>
      <c r="C1064" s="269"/>
      <c r="D1064" s="269"/>
    </row>
    <row r="1065" spans="1:12" ht="15.75" x14ac:dyDescent="0.25">
      <c r="A1065" s="264" t="s">
        <v>27</v>
      </c>
      <c r="B1065" s="263"/>
      <c r="C1065" s="270">
        <v>1755</v>
      </c>
      <c r="D1065" s="270" t="s">
        <v>79</v>
      </c>
      <c r="E1065" s="271"/>
    </row>
    <row r="1066" spans="1:12" ht="15.75" x14ac:dyDescent="0.25">
      <c r="A1066" s="264" t="s">
        <v>28</v>
      </c>
      <c r="B1066" s="263"/>
      <c r="C1066" s="270">
        <v>105.3</v>
      </c>
      <c r="D1066" s="268"/>
      <c r="E1066" s="271"/>
    </row>
    <row r="1067" spans="1:12" ht="15.75" x14ac:dyDescent="0.25">
      <c r="A1067" s="264" t="s">
        <v>29</v>
      </c>
      <c r="B1067" s="263"/>
      <c r="C1067" s="270">
        <v>117</v>
      </c>
      <c r="D1067" s="270"/>
      <c r="E1067" s="271"/>
    </row>
    <row r="1068" spans="1:12" ht="15.75" x14ac:dyDescent="0.25">
      <c r="B1068" s="263" t="s">
        <v>30</v>
      </c>
      <c r="C1068" s="270">
        <v>6</v>
      </c>
      <c r="D1068" s="268"/>
      <c r="E1068" s="271"/>
    </row>
    <row r="1069" spans="1:12" x14ac:dyDescent="0.2">
      <c r="B1069" s="263"/>
    </row>
    <row r="1070" spans="1:12" x14ac:dyDescent="0.2">
      <c r="A1070" s="271" t="s">
        <v>107</v>
      </c>
      <c r="B1070" s="272"/>
      <c r="D1070" s="273"/>
      <c r="F1070" s="273">
        <v>63555</v>
      </c>
      <c r="I1070" s="265"/>
    </row>
    <row r="1071" spans="1:12" x14ac:dyDescent="0.2">
      <c r="A1071" s="271" t="s">
        <v>108</v>
      </c>
      <c r="B1071" s="272"/>
      <c r="D1071" s="273"/>
      <c r="F1071" s="273">
        <v>69911</v>
      </c>
      <c r="I1071" s="265"/>
    </row>
    <row r="1072" spans="1:12" x14ac:dyDescent="0.2">
      <c r="A1072" s="271" t="s">
        <v>109</v>
      </c>
      <c r="B1072" s="272"/>
      <c r="D1072" s="273"/>
      <c r="F1072" s="273">
        <v>42470</v>
      </c>
      <c r="I1072" s="265"/>
    </row>
    <row r="1073" spans="1:12" x14ac:dyDescent="0.2">
      <c r="A1073" s="271"/>
      <c r="B1073" s="272"/>
      <c r="C1073" s="274"/>
      <c r="D1073" s="274"/>
      <c r="I1073" s="265"/>
    </row>
    <row r="1074" spans="1:12" ht="15.75" x14ac:dyDescent="0.25">
      <c r="B1074" s="263"/>
      <c r="J1074" s="275" t="s">
        <v>34</v>
      </c>
      <c r="K1074" s="419" t="s">
        <v>35</v>
      </c>
      <c r="L1074" s="421"/>
    </row>
    <row r="1075" spans="1:12" ht="15.75" x14ac:dyDescent="0.25">
      <c r="A1075" s="266" t="s">
        <v>36</v>
      </c>
      <c r="B1075" s="276"/>
      <c r="C1075" s="277" t="s">
        <v>80</v>
      </c>
      <c r="D1075" s="278"/>
      <c r="E1075" s="275" t="s">
        <v>38</v>
      </c>
      <c r="F1075" s="275" t="s">
        <v>39</v>
      </c>
      <c r="G1075" s="275" t="s">
        <v>40</v>
      </c>
      <c r="H1075" s="279" t="s">
        <v>0</v>
      </c>
      <c r="I1075" s="280"/>
      <c r="J1075" s="277" t="s">
        <v>41</v>
      </c>
      <c r="K1075" s="281" t="s">
        <v>42</v>
      </c>
      <c r="L1075" s="275" t="s">
        <v>43</v>
      </c>
    </row>
    <row r="1076" spans="1:12" ht="15.75" x14ac:dyDescent="0.25">
      <c r="A1076" s="282"/>
      <c r="B1076" s="276"/>
      <c r="C1076" s="283"/>
      <c r="D1076" s="278"/>
      <c r="E1076" s="284"/>
      <c r="F1076" s="285"/>
      <c r="G1076" s="285"/>
      <c r="H1076" s="286"/>
      <c r="I1076" s="280"/>
      <c r="J1076" s="287"/>
      <c r="K1076" s="288"/>
      <c r="L1076" s="289"/>
    </row>
    <row r="1077" spans="1:12" x14ac:dyDescent="0.2">
      <c r="A1077" s="264">
        <v>1</v>
      </c>
      <c r="B1077" s="263" t="s">
        <v>44</v>
      </c>
      <c r="C1077" s="290">
        <v>50000</v>
      </c>
      <c r="D1077" s="265"/>
      <c r="E1077" s="291"/>
      <c r="F1077" s="292"/>
      <c r="G1077" s="292">
        <f>+C1077</f>
        <v>50000</v>
      </c>
      <c r="H1077" s="293">
        <f>SUM(F1077+G1077)</f>
        <v>50000</v>
      </c>
      <c r="I1077" s="265"/>
      <c r="J1077" s="294">
        <f>+H1077</f>
        <v>50000</v>
      </c>
      <c r="K1077" s="292"/>
      <c r="L1077" s="293"/>
    </row>
    <row r="1078" spans="1:12" x14ac:dyDescent="0.2">
      <c r="B1078" s="263"/>
      <c r="C1078" s="290"/>
      <c r="D1078" s="265"/>
      <c r="E1078" s="291"/>
      <c r="F1078" s="292"/>
      <c r="G1078" s="292"/>
      <c r="H1078" s="293"/>
      <c r="I1078" s="265"/>
      <c r="J1078" s="294"/>
      <c r="K1078" s="292"/>
      <c r="L1078" s="293"/>
    </row>
    <row r="1079" spans="1:12" x14ac:dyDescent="0.2">
      <c r="A1079" s="264">
        <v>2</v>
      </c>
      <c r="B1079" s="263" t="s">
        <v>45</v>
      </c>
      <c r="C1079" s="290">
        <v>89606</v>
      </c>
      <c r="D1079" s="265"/>
      <c r="E1079" s="291">
        <v>1</v>
      </c>
      <c r="F1079" s="292">
        <f>+C1079*E1079</f>
        <v>89606</v>
      </c>
      <c r="G1079" s="292"/>
      <c r="H1079" s="293">
        <f>SUM(F1079+G1079)</f>
        <v>89606</v>
      </c>
      <c r="I1079" s="265"/>
      <c r="J1079" s="294">
        <f>+H1079</f>
        <v>89606</v>
      </c>
      <c r="K1079" s="292"/>
      <c r="L1079" s="293"/>
    </row>
    <row r="1080" spans="1:12" x14ac:dyDescent="0.2">
      <c r="B1080" s="263"/>
      <c r="C1080" s="290"/>
      <c r="D1080" s="265"/>
      <c r="E1080" s="291"/>
      <c r="F1080" s="292"/>
      <c r="G1080" s="292"/>
      <c r="H1080" s="293"/>
      <c r="I1080" s="265"/>
      <c r="J1080" s="294"/>
      <c r="K1080" s="292"/>
      <c r="L1080" s="293"/>
    </row>
    <row r="1081" spans="1:12" x14ac:dyDescent="0.2">
      <c r="A1081" s="264">
        <v>3</v>
      </c>
      <c r="B1081" s="301" t="s">
        <v>176</v>
      </c>
      <c r="C1081" s="290">
        <v>69911</v>
      </c>
      <c r="D1081" s="265"/>
      <c r="E1081" s="291">
        <v>1</v>
      </c>
      <c r="F1081" s="292">
        <f>+C1081*E1081</f>
        <v>69911</v>
      </c>
      <c r="G1081" s="292"/>
      <c r="H1081" s="293">
        <f>SUM(F1081+G1081)</f>
        <v>69911</v>
      </c>
      <c r="I1081" s="265"/>
      <c r="J1081" s="294"/>
      <c r="K1081" s="292"/>
      <c r="L1081" s="293">
        <f>$H$92</f>
        <v>69911</v>
      </c>
    </row>
    <row r="1082" spans="1:12" x14ac:dyDescent="0.2">
      <c r="B1082" s="263"/>
      <c r="C1082" s="290"/>
      <c r="D1082" s="265"/>
      <c r="E1082" s="291"/>
      <c r="F1082" s="292"/>
      <c r="G1082" s="292"/>
      <c r="H1082" s="293"/>
      <c r="I1082" s="265"/>
      <c r="J1082" s="294"/>
      <c r="K1082" s="292"/>
      <c r="L1082" s="293"/>
    </row>
    <row r="1083" spans="1:12" x14ac:dyDescent="0.2">
      <c r="A1083" s="264">
        <v>4</v>
      </c>
      <c r="B1083" s="263" t="s">
        <v>46</v>
      </c>
      <c r="C1083" s="290">
        <v>45865</v>
      </c>
      <c r="D1083" s="265"/>
      <c r="E1083" s="291">
        <v>1</v>
      </c>
      <c r="F1083" s="292">
        <f>+C1083*E1083</f>
        <v>45865</v>
      </c>
      <c r="G1083" s="292"/>
      <c r="H1083" s="293">
        <f>SUM(F1083+G1083)</f>
        <v>45865</v>
      </c>
      <c r="I1083" s="265"/>
      <c r="J1083" s="294">
        <f>+H1083</f>
        <v>45865</v>
      </c>
      <c r="K1083" s="292"/>
      <c r="L1083" s="293"/>
    </row>
    <row r="1084" spans="1:12" x14ac:dyDescent="0.2">
      <c r="B1084" s="263"/>
      <c r="C1084" s="290"/>
      <c r="D1084" s="265"/>
      <c r="E1084" s="291"/>
      <c r="F1084" s="292"/>
      <c r="G1084" s="292"/>
      <c r="H1084" s="293"/>
      <c r="I1084" s="265"/>
      <c r="J1084" s="294"/>
      <c r="K1084" s="292"/>
      <c r="L1084" s="293"/>
    </row>
    <row r="1085" spans="1:12" x14ac:dyDescent="0.2">
      <c r="A1085" s="264">
        <v>5</v>
      </c>
      <c r="B1085" s="263" t="s">
        <v>47</v>
      </c>
      <c r="C1085" s="290">
        <v>42470</v>
      </c>
      <c r="D1085" s="265"/>
      <c r="E1085" s="291">
        <v>1</v>
      </c>
      <c r="F1085" s="292">
        <f>+C1085*E1085</f>
        <v>42470</v>
      </c>
      <c r="G1085" s="292"/>
      <c r="H1085" s="293">
        <f>SUM(F1085+G1085)</f>
        <v>42470</v>
      </c>
      <c r="I1085" s="265"/>
      <c r="J1085" s="294">
        <f>+H1085</f>
        <v>42470</v>
      </c>
      <c r="K1085" s="292"/>
      <c r="L1085" s="293"/>
    </row>
    <row r="1086" spans="1:12" x14ac:dyDescent="0.2">
      <c r="B1086" s="263"/>
      <c r="C1086" s="290"/>
      <c r="D1086" s="265"/>
      <c r="E1086" s="291"/>
      <c r="F1086" s="292"/>
      <c r="G1086" s="292"/>
      <c r="H1086" s="293"/>
      <c r="I1086" s="265"/>
      <c r="J1086" s="294"/>
      <c r="K1086" s="292"/>
      <c r="L1086" s="293"/>
    </row>
    <row r="1087" spans="1:12" x14ac:dyDescent="0.2">
      <c r="A1087" s="264">
        <v>6</v>
      </c>
      <c r="B1087" s="263" t="s">
        <v>113</v>
      </c>
      <c r="C1087" s="290">
        <v>57775</v>
      </c>
      <c r="D1087" s="265"/>
      <c r="E1087" s="291">
        <v>1</v>
      </c>
      <c r="F1087" s="292">
        <f>+C1087*E1087</f>
        <v>57775</v>
      </c>
      <c r="G1087" s="292"/>
      <c r="H1087" s="293">
        <f>SUM(F1087+G1087)</f>
        <v>57775</v>
      </c>
      <c r="I1087" s="265"/>
      <c r="J1087" s="294">
        <f>+H1087</f>
        <v>57775</v>
      </c>
      <c r="K1087" s="292"/>
      <c r="L1087" s="293"/>
    </row>
    <row r="1088" spans="1:12" x14ac:dyDescent="0.2">
      <c r="B1088" s="263"/>
      <c r="C1088" s="290"/>
      <c r="D1088" s="265"/>
      <c r="E1088" s="291"/>
      <c r="F1088" s="292"/>
      <c r="G1088" s="292"/>
      <c r="H1088" s="293"/>
      <c r="I1088" s="265"/>
      <c r="J1088" s="294"/>
      <c r="K1088" s="292"/>
      <c r="L1088" s="293"/>
    </row>
    <row r="1089" spans="1:12" x14ac:dyDescent="0.2">
      <c r="A1089" s="264">
        <v>7</v>
      </c>
      <c r="B1089" s="263" t="s">
        <v>151</v>
      </c>
      <c r="C1089" s="273">
        <v>42470</v>
      </c>
      <c r="D1089" s="265"/>
      <c r="E1089" s="322">
        <f>ROUND(C1066/100,0)</f>
        <v>1</v>
      </c>
      <c r="F1089" s="292">
        <f>SUM(E1089*C1089)</f>
        <v>42470</v>
      </c>
      <c r="G1089" s="292"/>
      <c r="H1089" s="293">
        <f>SUM(F1089+G1089)</f>
        <v>42470</v>
      </c>
      <c r="I1089" s="265"/>
      <c r="J1089" s="293">
        <f>SUM(H1089+I1089)</f>
        <v>42470</v>
      </c>
      <c r="K1089" s="296"/>
      <c r="L1089" s="297"/>
    </row>
    <row r="1090" spans="1:12" x14ac:dyDescent="0.2">
      <c r="B1090" s="263" t="s">
        <v>199</v>
      </c>
      <c r="C1090" s="273"/>
      <c r="D1090" s="265"/>
      <c r="E1090" s="322"/>
      <c r="F1090" s="292"/>
      <c r="G1090" s="292">
        <v>10200</v>
      </c>
      <c r="H1090" s="293">
        <v>10200</v>
      </c>
      <c r="I1090" s="265"/>
      <c r="J1090" s="292">
        <v>10200</v>
      </c>
      <c r="K1090" s="292"/>
      <c r="L1090" s="293"/>
    </row>
    <row r="1091" spans="1:12" x14ac:dyDescent="0.2">
      <c r="A1091" s="264">
        <v>8</v>
      </c>
      <c r="B1091" s="263" t="s">
        <v>50</v>
      </c>
      <c r="C1091" s="290">
        <v>15000</v>
      </c>
      <c r="D1091" s="265"/>
      <c r="E1091" s="291"/>
      <c r="F1091" s="292"/>
      <c r="G1091" s="292">
        <f>+C1091</f>
        <v>15000</v>
      </c>
      <c r="H1091" s="293">
        <f>SUM(F1091+G1091)</f>
        <v>15000</v>
      </c>
      <c r="I1091" s="265"/>
      <c r="J1091" s="323">
        <f>+H1091</f>
        <v>15000</v>
      </c>
      <c r="K1091" s="292"/>
      <c r="L1091" s="293"/>
    </row>
    <row r="1092" spans="1:12" x14ac:dyDescent="0.2">
      <c r="B1092" s="263"/>
      <c r="C1092" s="290"/>
      <c r="D1092" s="265"/>
      <c r="E1092" s="291"/>
      <c r="F1092" s="292"/>
      <c r="G1092" s="292"/>
      <c r="H1092" s="293"/>
      <c r="I1092" s="265"/>
      <c r="J1092" s="323"/>
      <c r="K1092" s="292"/>
      <c r="L1092" s="293"/>
    </row>
    <row r="1093" spans="1:12" x14ac:dyDescent="0.2">
      <c r="A1093" s="264">
        <v>9</v>
      </c>
      <c r="B1093" s="263" t="s">
        <v>51</v>
      </c>
      <c r="C1093" s="290">
        <v>30000</v>
      </c>
      <c r="D1093" s="265"/>
      <c r="E1093" s="291"/>
      <c r="F1093" s="292"/>
      <c r="G1093" s="292">
        <f>+C1093</f>
        <v>30000</v>
      </c>
      <c r="H1093" s="293">
        <f>SUM(F1093+G1093)</f>
        <v>30000</v>
      </c>
      <c r="I1093" s="265"/>
      <c r="J1093" s="323">
        <f>+H1093</f>
        <v>30000</v>
      </c>
      <c r="K1093" s="292"/>
      <c r="L1093" s="293"/>
    </row>
    <row r="1094" spans="1:12" x14ac:dyDescent="0.2">
      <c r="B1094" s="263"/>
      <c r="C1094" s="290"/>
      <c r="D1094" s="265"/>
      <c r="E1094" s="291"/>
      <c r="F1094" s="292"/>
      <c r="G1094" s="292"/>
      <c r="H1094" s="293"/>
      <c r="I1094" s="265"/>
      <c r="J1094" s="323"/>
      <c r="K1094" s="292"/>
      <c r="L1094" s="293"/>
    </row>
    <row r="1095" spans="1:12" x14ac:dyDescent="0.2">
      <c r="A1095" s="264">
        <v>10</v>
      </c>
      <c r="B1095" s="263" t="s">
        <v>52</v>
      </c>
      <c r="C1095" s="290">
        <v>40000</v>
      </c>
      <c r="D1095" s="265"/>
      <c r="E1095" s="291"/>
      <c r="F1095" s="292"/>
      <c r="G1095" s="292">
        <f>+C1095</f>
        <v>40000</v>
      </c>
      <c r="H1095" s="293">
        <f>SUM(F1095+G1095)</f>
        <v>40000</v>
      </c>
      <c r="I1095" s="265"/>
      <c r="J1095" s="323">
        <f>+H1095</f>
        <v>40000</v>
      </c>
      <c r="K1095" s="292"/>
      <c r="L1095" s="293"/>
    </row>
    <row r="1096" spans="1:12" x14ac:dyDescent="0.2">
      <c r="B1096" s="263"/>
      <c r="C1096" s="290"/>
      <c r="D1096" s="265"/>
      <c r="E1096" s="291"/>
      <c r="F1096" s="292"/>
      <c r="G1096" s="292"/>
      <c r="H1096" s="293"/>
      <c r="I1096" s="265"/>
      <c r="J1096" s="294"/>
      <c r="K1096" s="292"/>
      <c r="L1096" s="293"/>
    </row>
    <row r="1097" spans="1:12" x14ac:dyDescent="0.2">
      <c r="A1097" s="264">
        <v>11</v>
      </c>
      <c r="B1097" s="263" t="s">
        <v>53</v>
      </c>
      <c r="C1097" s="290"/>
      <c r="D1097" s="265"/>
      <c r="E1097" s="291"/>
      <c r="F1097" s="292"/>
      <c r="G1097" s="292">
        <f>ROUND((F1079+F1081+F1083+F1085+F1087+F1099+F1103+F1105+F1110+F1112+F1114+F1116+F1089+F1118+F1107)*0.15,0)</f>
        <v>371151</v>
      </c>
      <c r="H1097" s="293">
        <f>SUM(G1097)</f>
        <v>371151</v>
      </c>
      <c r="I1097" s="265"/>
      <c r="J1097" s="323">
        <f>ROUND((SUM(F1079:F1089)*0.15),0)</f>
        <v>52215</v>
      </c>
      <c r="K1097" s="324">
        <f>ROUND(SUM(F1099:F1114,F1116)*0.15,0)</f>
        <v>261737</v>
      </c>
      <c r="L1097" s="325">
        <f>ROUND(F1118*0.15,0)</f>
        <v>57200</v>
      </c>
    </row>
    <row r="1098" spans="1:12" x14ac:dyDescent="0.2">
      <c r="B1098" s="263"/>
      <c r="C1098" s="290"/>
      <c r="D1098" s="265"/>
      <c r="E1098" s="291"/>
      <c r="F1098" s="292"/>
      <c r="G1098" s="292"/>
      <c r="H1098" s="293"/>
      <c r="I1098" s="265"/>
      <c r="J1098" s="294"/>
      <c r="K1098" s="296"/>
      <c r="L1098" s="297"/>
    </row>
    <row r="1099" spans="1:12" x14ac:dyDescent="0.2">
      <c r="A1099" s="264">
        <v>12</v>
      </c>
      <c r="B1099" s="263" t="s">
        <v>54</v>
      </c>
      <c r="C1099" s="290"/>
      <c r="D1099" s="265"/>
      <c r="E1099" s="291"/>
      <c r="F1099" s="292">
        <f>(F1079+F1081+F1083+F1085+F1103+F1087+F1105++F1110+F1112+F1114+F1118+F1089+F1116+F1107)*0.2045</f>
        <v>420093.18429999996</v>
      </c>
      <c r="G1099" s="292"/>
      <c r="H1099" s="293">
        <f>(F1079+F1081+F1083+F1085+F1087+F1103+F1105+F1110+F1112+F1114+F1118+F1089+F1116+F1107)*0.2045</f>
        <v>420093.18429999996</v>
      </c>
      <c r="I1099" s="265"/>
      <c r="J1099" s="323">
        <f>ROUND((SUM(F1079:F1089)*0.2045),0)</f>
        <v>71186</v>
      </c>
      <c r="K1099" s="324">
        <f>ROUND((SUM(F1103:F1116)*0.2045),0)</f>
        <v>270925</v>
      </c>
      <c r="L1099" s="325">
        <f>ROUND(F1118*0.2045,0)</f>
        <v>77982</v>
      </c>
    </row>
    <row r="1100" spans="1:12" x14ac:dyDescent="0.2">
      <c r="B1100" s="263"/>
      <c r="C1100" s="290"/>
      <c r="D1100" s="265"/>
      <c r="E1100" s="291"/>
      <c r="F1100" s="292"/>
      <c r="G1100" s="292"/>
      <c r="H1100" s="293"/>
      <c r="I1100" s="265"/>
      <c r="J1100" s="294"/>
      <c r="K1100" s="296"/>
      <c r="L1100" s="297"/>
    </row>
    <row r="1101" spans="1:12" x14ac:dyDescent="0.2">
      <c r="A1101" s="264">
        <v>13</v>
      </c>
      <c r="B1101" s="263" t="s">
        <v>55</v>
      </c>
      <c r="C1101" s="290">
        <v>2000</v>
      </c>
      <c r="D1101" s="265"/>
      <c r="E1101" s="291"/>
      <c r="F1101" s="292"/>
      <c r="G1101" s="292">
        <f>E1126*2000</f>
        <v>62000</v>
      </c>
      <c r="H1101" s="293">
        <f t="shared" ref="H1101" si="136">SUM(F1101+G1101)</f>
        <v>62000</v>
      </c>
      <c r="I1101" s="265"/>
      <c r="J1101" s="294">
        <f>(E1079+E1081+E1083+E1085+E1087+E1089)*2000</f>
        <v>12000</v>
      </c>
      <c r="K1101" s="296">
        <f>ROUND(SUM(E1105,E1110,E1112,E1114,E1116,E1107)*2000,0)</f>
        <v>38000</v>
      </c>
      <c r="L1101" s="297">
        <f>ROUND(E1118*2000,0)</f>
        <v>12000</v>
      </c>
    </row>
    <row r="1102" spans="1:12" x14ac:dyDescent="0.2">
      <c r="B1102" s="263"/>
      <c r="C1102" s="290"/>
      <c r="D1102" s="265"/>
      <c r="E1102" s="291"/>
      <c r="F1102" s="292"/>
      <c r="G1102" s="292"/>
      <c r="H1102" s="293"/>
      <c r="I1102" s="265"/>
      <c r="J1102" s="294"/>
      <c r="K1102" s="296"/>
      <c r="L1102" s="297"/>
    </row>
    <row r="1103" spans="1:12" ht="36.75" customHeight="1" x14ac:dyDescent="0.2">
      <c r="A1103" s="264">
        <v>14</v>
      </c>
      <c r="B1103" s="263" t="s">
        <v>114</v>
      </c>
      <c r="C1103" s="290"/>
      <c r="D1103" s="265"/>
      <c r="E1103" s="291"/>
      <c r="F1103" s="292">
        <f>(F1110+F1114+F1116+F1105+F1107+F1118+F1112)*0.1</f>
        <v>155104.4</v>
      </c>
      <c r="G1103" s="292"/>
      <c r="H1103" s="293">
        <f>SUM(F1103+G1103)</f>
        <v>155104.4</v>
      </c>
      <c r="I1103" s="265"/>
      <c r="J1103" s="294"/>
      <c r="K1103" s="296">
        <f>ROUND((+F1105+F1110+F1114+F1116+F1107+F1112)*0.1,0)</f>
        <v>116971</v>
      </c>
      <c r="L1103" s="297">
        <f>ROUND(F1118*0.1,0)</f>
        <v>38133</v>
      </c>
    </row>
    <row r="1104" spans="1:12" x14ac:dyDescent="0.2">
      <c r="B1104" s="263"/>
      <c r="C1104" s="290"/>
      <c r="D1104" s="265"/>
      <c r="E1104" s="291"/>
      <c r="F1104" s="292"/>
      <c r="G1104" s="292"/>
      <c r="H1104" s="293"/>
      <c r="I1104" s="265"/>
      <c r="J1104" s="294"/>
      <c r="K1104" s="292"/>
      <c r="L1104" s="293"/>
    </row>
    <row r="1105" spans="1:12" x14ac:dyDescent="0.2">
      <c r="A1105" s="264">
        <v>15</v>
      </c>
      <c r="B1105" s="263" t="s">
        <v>57</v>
      </c>
      <c r="C1105" s="290">
        <v>69911</v>
      </c>
      <c r="D1105" s="265"/>
      <c r="E1105" s="326">
        <f>ROUND((E1118+E1114+E1112+E1110+E1116+E1107)/6,0)</f>
        <v>4</v>
      </c>
      <c r="F1105" s="292">
        <f>F1071*E1105</f>
        <v>279644</v>
      </c>
      <c r="G1105" s="292"/>
      <c r="H1105" s="293">
        <f t="shared" ref="H1105" si="137">SUM(F1105+G1105)</f>
        <v>279644</v>
      </c>
      <c r="I1105" s="265"/>
      <c r="J1105" s="291"/>
      <c r="K1105" s="296">
        <f>ROUND(F1105*((+E$49+E$51+E$53)/(E$49+E$51+E$53+E$55)),0)</f>
        <v>176154</v>
      </c>
      <c r="L1105" s="297">
        <f>ROUND((+F1105*(E$55/(+E$49+E$51+E$53+E$55))),0)</f>
        <v>103490</v>
      </c>
    </row>
    <row r="1106" spans="1:12" x14ac:dyDescent="0.2">
      <c r="B1106" s="263"/>
      <c r="C1106" s="290"/>
      <c r="D1106" s="265"/>
      <c r="E1106" s="291"/>
      <c r="F1106" s="292"/>
      <c r="G1106" s="292"/>
      <c r="H1106" s="293"/>
      <c r="I1106" s="265"/>
      <c r="J1106" s="294"/>
      <c r="K1106" s="292"/>
      <c r="L1106" s="293"/>
    </row>
    <row r="1107" spans="1:12" x14ac:dyDescent="0.2">
      <c r="A1107" s="301">
        <v>16</v>
      </c>
      <c r="B1107" s="301" t="s">
        <v>160</v>
      </c>
      <c r="C1107" s="290">
        <v>42470</v>
      </c>
      <c r="D1107" s="265"/>
      <c r="E1107" s="326">
        <f>ROUNDUP((E1118+E1114+E1112+E1110+E1116)/6,0)</f>
        <v>3</v>
      </c>
      <c r="F1107" s="327">
        <f>F1072*E1107</f>
        <v>127410</v>
      </c>
      <c r="H1107" s="293">
        <f t="shared" ref="H1107" si="138">SUM(F1107+G1107)</f>
        <v>127410</v>
      </c>
      <c r="I1107" s="265"/>
      <c r="J1107" s="294"/>
      <c r="K1107" s="296">
        <f>ROUND(F1107*((+E$49+E$51+E$53)/(E$49+E$51+E$53+E$55)),0)</f>
        <v>80258</v>
      </c>
      <c r="L1107" s="297">
        <f>ROUND((+F1107*(E$55/(+E$49+E$51+E$53+E$55))),0)</f>
        <v>47152</v>
      </c>
    </row>
    <row r="1108" spans="1:12" x14ac:dyDescent="0.2">
      <c r="B1108" s="263"/>
      <c r="C1108" s="290"/>
      <c r="D1108" s="265"/>
      <c r="E1108" s="291"/>
      <c r="F1108" s="292"/>
      <c r="G1108" s="292"/>
      <c r="H1108" s="293"/>
      <c r="I1108" s="265"/>
      <c r="J1108" s="294"/>
      <c r="K1108" s="292"/>
      <c r="L1108" s="293"/>
    </row>
    <row r="1109" spans="1:12" ht="15.75" x14ac:dyDescent="0.25">
      <c r="A1109" s="282" t="s">
        <v>115</v>
      </c>
      <c r="B1109" s="263"/>
      <c r="C1109" s="290"/>
      <c r="D1109" s="265"/>
      <c r="E1109" s="291"/>
      <c r="F1109" s="292"/>
      <c r="G1109" s="292"/>
      <c r="H1109" s="293"/>
      <c r="I1109" s="265"/>
      <c r="J1109" s="294"/>
      <c r="K1109" s="292"/>
      <c r="L1109" s="293"/>
    </row>
    <row r="1110" spans="1:12" x14ac:dyDescent="0.2">
      <c r="A1110" s="300">
        <v>17</v>
      </c>
      <c r="B1110" s="301" t="s">
        <v>60</v>
      </c>
      <c r="C1110" s="302">
        <v>63555</v>
      </c>
      <c r="D1110" s="303"/>
      <c r="E1110" s="304">
        <f>ROUND(C1066/30,0)</f>
        <v>4</v>
      </c>
      <c r="F1110" s="305">
        <f>F1070*E1110</f>
        <v>254220</v>
      </c>
      <c r="G1110" s="305"/>
      <c r="H1110" s="293">
        <f t="shared" ref="H1110" si="139">SUM(F1110+G1110)</f>
        <v>254220</v>
      </c>
      <c r="I1110" s="303"/>
      <c r="J1110" s="306"/>
      <c r="K1110" s="292">
        <f>SUM(E1110*F1070)</f>
        <v>254220</v>
      </c>
      <c r="L1110" s="293"/>
    </row>
    <row r="1111" spans="1:12" x14ac:dyDescent="0.2">
      <c r="A1111" s="301"/>
      <c r="B1111" s="301"/>
      <c r="C1111" s="290"/>
      <c r="D1111" s="265"/>
      <c r="E1111" s="291"/>
      <c r="F1111" s="292"/>
      <c r="G1111" s="292"/>
      <c r="H1111" s="293"/>
      <c r="I1111" s="265"/>
      <c r="J1111" s="294"/>
      <c r="K1111" s="292"/>
      <c r="L1111" s="293"/>
    </row>
    <row r="1112" spans="1:12" ht="30" x14ac:dyDescent="0.2">
      <c r="A1112" s="300">
        <v>18</v>
      </c>
      <c r="B1112" s="301" t="s">
        <v>61</v>
      </c>
      <c r="C1112" s="290">
        <v>63555</v>
      </c>
      <c r="D1112" s="265"/>
      <c r="E1112" s="291">
        <f>1</f>
        <v>1</v>
      </c>
      <c r="F1112" s="292">
        <f>F1070*E1112</f>
        <v>63555</v>
      </c>
      <c r="G1112" s="292"/>
      <c r="H1112" s="293">
        <f t="shared" ref="H1112" si="140">SUM(F1112+G1112)</f>
        <v>63555</v>
      </c>
      <c r="I1112" s="265"/>
      <c r="J1112" s="294" t="s">
        <v>62</v>
      </c>
      <c r="K1112" s="292">
        <f>SUM(E1112*F1070)</f>
        <v>63555</v>
      </c>
      <c r="L1112" s="293"/>
    </row>
    <row r="1113" spans="1:12" x14ac:dyDescent="0.2">
      <c r="A1113" s="301"/>
      <c r="B1113" s="301"/>
      <c r="C1113" s="290"/>
      <c r="D1113" s="265"/>
      <c r="E1113" s="291"/>
      <c r="F1113" s="292"/>
      <c r="G1113" s="292"/>
      <c r="H1113" s="293"/>
      <c r="I1113" s="265"/>
      <c r="J1113" s="294"/>
      <c r="K1113" s="292"/>
      <c r="L1113" s="293"/>
    </row>
    <row r="1114" spans="1:12" x14ac:dyDescent="0.2">
      <c r="A1114" s="301">
        <v>19</v>
      </c>
      <c r="B1114" s="301" t="s">
        <v>63</v>
      </c>
      <c r="C1114" s="290">
        <v>63555</v>
      </c>
      <c r="D1114" s="265"/>
      <c r="E1114" s="291">
        <f>ROUND(C1066/20,0)</f>
        <v>5</v>
      </c>
      <c r="F1114" s="292">
        <f>F1070*E1114</f>
        <v>317775</v>
      </c>
      <c r="G1114" s="292"/>
      <c r="H1114" s="293">
        <f t="shared" ref="H1114" si="141">SUM(F1114+G1114)</f>
        <v>317775</v>
      </c>
      <c r="I1114" s="265"/>
      <c r="J1114" s="294"/>
      <c r="K1114" s="292">
        <f>SUM(E1114*F1070)</f>
        <v>317775</v>
      </c>
      <c r="L1114" s="293"/>
    </row>
    <row r="1115" spans="1:12" x14ac:dyDescent="0.2">
      <c r="A1115" s="301"/>
      <c r="B1115" s="301"/>
      <c r="C1115" s="290"/>
      <c r="D1115" s="265"/>
      <c r="E1115" s="291"/>
      <c r="F1115" s="292"/>
      <c r="G1115" s="292"/>
      <c r="H1115" s="293"/>
      <c r="I1115" s="265"/>
      <c r="J1115" s="294"/>
      <c r="K1115" s="292"/>
      <c r="L1115" s="293"/>
    </row>
    <row r="1116" spans="1:12" x14ac:dyDescent="0.2">
      <c r="A1116" s="301">
        <v>20</v>
      </c>
      <c r="B1116" s="301" t="s">
        <v>111</v>
      </c>
      <c r="C1116" s="290">
        <v>63555</v>
      </c>
      <c r="D1116" s="265"/>
      <c r="E1116" s="328">
        <f>ROUNDDOWN(C1067/40,0)</f>
        <v>2</v>
      </c>
      <c r="F1116" s="292">
        <f>F1070*E1116</f>
        <v>127110</v>
      </c>
      <c r="G1116" s="292"/>
      <c r="H1116" s="293">
        <f t="shared" ref="H1116" si="142">SUM(F1116+G1116)</f>
        <v>127110</v>
      </c>
      <c r="I1116" s="290"/>
      <c r="K1116" s="265">
        <f>SUM(E1116*F1070)</f>
        <v>127110</v>
      </c>
      <c r="L1116" s="329"/>
    </row>
    <row r="1117" spans="1:12" x14ac:dyDescent="0.2">
      <c r="A1117" s="301"/>
      <c r="B1117" s="301"/>
      <c r="C1117" s="290"/>
      <c r="D1117" s="265"/>
      <c r="E1117" s="291"/>
      <c r="F1117" s="292"/>
      <c r="G1117" s="292"/>
      <c r="H1117" s="293"/>
      <c r="I1117" s="290"/>
      <c r="L1117" s="329"/>
    </row>
    <row r="1118" spans="1:12" x14ac:dyDescent="0.2">
      <c r="A1118" s="301">
        <v>21</v>
      </c>
      <c r="B1118" s="301" t="s">
        <v>112</v>
      </c>
      <c r="C1118" s="290">
        <v>63555</v>
      </c>
      <c r="D1118" s="265"/>
      <c r="E1118" s="328">
        <f>ROUND(C1067/20,0)</f>
        <v>6</v>
      </c>
      <c r="F1118" s="292">
        <f>SUM(E1118*F1070)</f>
        <v>381330</v>
      </c>
      <c r="H1118" s="293">
        <f t="shared" ref="H1118" si="143">SUM(F1118+G1118)</f>
        <v>381330</v>
      </c>
      <c r="I1118" s="290"/>
      <c r="K1118" s="265"/>
      <c r="L1118" s="293">
        <f>SUM(H1118)</f>
        <v>381330</v>
      </c>
    </row>
    <row r="1119" spans="1:12" x14ac:dyDescent="0.2">
      <c r="A1119" s="301"/>
      <c r="B1119" s="301"/>
      <c r="C1119" s="290"/>
      <c r="D1119" s="265"/>
      <c r="E1119" s="291"/>
      <c r="F1119" s="292"/>
      <c r="H1119" s="293"/>
      <c r="I1119" s="290"/>
      <c r="L1119" s="329"/>
    </row>
    <row r="1120" spans="1:12" x14ac:dyDescent="0.2">
      <c r="A1120" s="301">
        <v>22</v>
      </c>
      <c r="B1120" s="301" t="s">
        <v>155</v>
      </c>
      <c r="C1120" s="295"/>
      <c r="D1120" s="307"/>
      <c r="E1120" s="291"/>
      <c r="F1120" s="292"/>
      <c r="G1120" s="292">
        <f>ROUND(175*C1065,0)</f>
        <v>307125</v>
      </c>
      <c r="H1120" s="293">
        <f t="shared" ref="H1120" si="144">SUM(F1120+G1120)</f>
        <v>307125</v>
      </c>
      <c r="I1120" s="265"/>
      <c r="J1120" s="294" t="s">
        <v>62</v>
      </c>
      <c r="K1120" s="292">
        <f>ROUND(175/2*C1065,0)</f>
        <v>153563</v>
      </c>
      <c r="L1120" s="293">
        <f>ROUND(175/2*C1065,0)</f>
        <v>153563</v>
      </c>
    </row>
    <row r="1121" spans="1:12" x14ac:dyDescent="0.2">
      <c r="A1121" s="301"/>
      <c r="B1121" s="301"/>
      <c r="C1121" s="290"/>
      <c r="D1121" s="265"/>
      <c r="E1121" s="291"/>
      <c r="F1121" s="292"/>
      <c r="G1121" s="292"/>
      <c r="H1121" s="293"/>
      <c r="I1121" s="265"/>
      <c r="J1121" s="294"/>
      <c r="K1121" s="292"/>
      <c r="L1121" s="293"/>
    </row>
    <row r="1122" spans="1:12" x14ac:dyDescent="0.2">
      <c r="A1122" s="301">
        <v>23</v>
      </c>
      <c r="B1122" s="301" t="s">
        <v>66</v>
      </c>
      <c r="C1122" s="290">
        <v>11500</v>
      </c>
      <c r="D1122" s="265"/>
      <c r="E1122" s="291"/>
      <c r="F1122" s="292"/>
      <c r="G1122" s="292">
        <f>(E1079+E1105+E1116+E1110+E1112+E1114+E1118+E1107)*11500</f>
        <v>299000</v>
      </c>
      <c r="H1122" s="293">
        <f>SUM(F1122:G1122)</f>
        <v>299000</v>
      </c>
      <c r="I1122" s="265"/>
      <c r="J1122" s="323">
        <f>ROUND(11500*E1079,0)</f>
        <v>11500</v>
      </c>
      <c r="K1122" s="296">
        <f>(ROUND(11500*(+E1114+E1112+E1110+E1116+E1105+E1107),0))</f>
        <v>218500</v>
      </c>
      <c r="L1122" s="297">
        <f>ROUND(11500*E1118,0)</f>
        <v>69000</v>
      </c>
    </row>
    <row r="1123" spans="1:12" x14ac:dyDescent="0.2">
      <c r="A1123" s="301"/>
      <c r="B1123" s="301"/>
      <c r="C1123" s="290"/>
      <c r="D1123" s="265"/>
      <c r="E1123" s="291"/>
      <c r="G1123" s="292"/>
      <c r="H1123" s="293"/>
      <c r="J1123" s="294"/>
      <c r="K1123" s="296"/>
      <c r="L1123" s="297"/>
    </row>
    <row r="1124" spans="1:12" x14ac:dyDescent="0.2">
      <c r="A1124" s="301">
        <v>24</v>
      </c>
      <c r="B1124" s="301" t="s">
        <v>82</v>
      </c>
      <c r="C1124" s="290"/>
      <c r="D1124" s="265"/>
      <c r="E1124" s="291"/>
      <c r="G1124" s="292">
        <v>39790</v>
      </c>
      <c r="H1124" s="293">
        <f t="shared" ref="H1124" si="145">SUM(F1124+G1124)</f>
        <v>39790</v>
      </c>
      <c r="I1124" s="330"/>
      <c r="J1124" s="292"/>
      <c r="K1124" s="296"/>
      <c r="L1124" s="297">
        <f>+H1124</f>
        <v>39790</v>
      </c>
    </row>
    <row r="1125" spans="1:12" ht="15.75" thickBot="1" x14ac:dyDescent="0.25">
      <c r="B1125" s="331"/>
      <c r="C1125" s="332"/>
      <c r="D1125" s="265"/>
      <c r="E1125" s="291"/>
      <c r="H1125" s="293"/>
      <c r="I1125" s="333"/>
      <c r="J1125" s="265"/>
      <c r="L1125" s="293"/>
    </row>
    <row r="1126" spans="1:12" ht="16.5" thickBot="1" x14ac:dyDescent="0.3">
      <c r="B1126" s="334" t="s">
        <v>67</v>
      </c>
      <c r="C1126" s="335"/>
      <c r="D1126" s="336"/>
      <c r="E1126" s="337">
        <f>SUM(E1076:E1125)</f>
        <v>31</v>
      </c>
      <c r="F1126" s="336">
        <f>SUM(F1076:F1124)</f>
        <v>2474338.5843000002</v>
      </c>
      <c r="G1126" s="336">
        <f>SUM(G1077:G1124)</f>
        <v>1224266</v>
      </c>
      <c r="H1126" s="338">
        <f>SUM(H1077:H1125)</f>
        <v>3698604.5842999998</v>
      </c>
      <c r="I1126" s="336"/>
      <c r="J1126" s="339">
        <f>SUM(J1077:J1124)</f>
        <v>570287</v>
      </c>
      <c r="K1126" s="336">
        <f>SUM(K1077:K1125)</f>
        <v>2078768</v>
      </c>
      <c r="L1126" s="340">
        <f>SUM(L1076:L1125)</f>
        <v>1049551</v>
      </c>
    </row>
    <row r="1127" spans="1:12" ht="15.75" x14ac:dyDescent="0.25">
      <c r="B1127" s="272"/>
      <c r="C1127" s="271"/>
      <c r="D1127" s="271"/>
      <c r="E1127" s="274"/>
      <c r="J1127" s="265"/>
      <c r="K1127" s="265"/>
      <c r="L1127" s="347"/>
    </row>
    <row r="1128" spans="1:12" ht="15.75" x14ac:dyDescent="0.25">
      <c r="B1128" s="318"/>
      <c r="C1128" s="271"/>
      <c r="D1128" s="271"/>
      <c r="E1128" s="274"/>
      <c r="J1128" s="265"/>
      <c r="K1128" s="265"/>
      <c r="L1128" s="347"/>
    </row>
    <row r="1129" spans="1:12" ht="15.75" x14ac:dyDescent="0.25">
      <c r="C1129" s="272"/>
      <c r="D1129" s="272"/>
      <c r="E1129" s="274"/>
      <c r="L1129" s="347"/>
    </row>
    <row r="1131" spans="1:12" ht="15.75" x14ac:dyDescent="0.25">
      <c r="A1131" s="266" t="s">
        <v>24</v>
      </c>
      <c r="B1131" s="267"/>
      <c r="C1131" s="320" t="s">
        <v>100</v>
      </c>
    </row>
    <row r="1132" spans="1:12" ht="15.75" x14ac:dyDescent="0.25">
      <c r="A1132" s="266" t="s">
        <v>106</v>
      </c>
      <c r="B1132" s="263"/>
    </row>
    <row r="1133" spans="1:12" x14ac:dyDescent="0.2">
      <c r="B1133" s="263"/>
      <c r="C1133" s="268"/>
      <c r="D1133" s="268"/>
    </row>
    <row r="1134" spans="1:12" x14ac:dyDescent="0.2">
      <c r="B1134" s="263"/>
      <c r="C1134" s="269"/>
      <c r="D1134" s="269"/>
    </row>
    <row r="1135" spans="1:12" ht="15.75" x14ac:dyDescent="0.25">
      <c r="A1135" s="264" t="s">
        <v>27</v>
      </c>
      <c r="B1135" s="263"/>
      <c r="C1135" s="270">
        <v>702</v>
      </c>
      <c r="D1135" s="270" t="s">
        <v>79</v>
      </c>
      <c r="E1135" s="271"/>
    </row>
    <row r="1136" spans="1:12" ht="15.75" x14ac:dyDescent="0.25">
      <c r="A1136" s="264" t="s">
        <v>28</v>
      </c>
      <c r="B1136" s="263"/>
      <c r="C1136" s="270">
        <v>42.12</v>
      </c>
      <c r="D1136" s="268"/>
      <c r="E1136" s="271"/>
    </row>
    <row r="1137" spans="1:12" ht="15.75" x14ac:dyDescent="0.25">
      <c r="A1137" s="264" t="s">
        <v>29</v>
      </c>
      <c r="B1137" s="263"/>
      <c r="C1137" s="270">
        <v>46.800000000000004</v>
      </c>
      <c r="D1137" s="270"/>
      <c r="E1137" s="271"/>
    </row>
    <row r="1138" spans="1:12" ht="15.75" x14ac:dyDescent="0.25">
      <c r="B1138" s="263" t="s">
        <v>30</v>
      </c>
      <c r="C1138" s="270">
        <v>1</v>
      </c>
      <c r="D1138" s="268"/>
      <c r="E1138" s="271"/>
    </row>
    <row r="1139" spans="1:12" x14ac:dyDescent="0.2">
      <c r="B1139" s="263"/>
    </row>
    <row r="1140" spans="1:12" x14ac:dyDescent="0.2">
      <c r="A1140" s="271" t="s">
        <v>107</v>
      </c>
      <c r="B1140" s="272"/>
      <c r="D1140" s="273"/>
      <c r="F1140" s="273">
        <v>63555</v>
      </c>
      <c r="I1140" s="265"/>
    </row>
    <row r="1141" spans="1:12" x14ac:dyDescent="0.2">
      <c r="A1141" s="271" t="s">
        <v>108</v>
      </c>
      <c r="B1141" s="272"/>
      <c r="D1141" s="273"/>
      <c r="F1141" s="273">
        <v>69911</v>
      </c>
      <c r="I1141" s="265"/>
    </row>
    <row r="1142" spans="1:12" x14ac:dyDescent="0.2">
      <c r="A1142" s="271" t="s">
        <v>109</v>
      </c>
      <c r="B1142" s="272"/>
      <c r="D1142" s="273"/>
      <c r="F1142" s="273">
        <v>42470</v>
      </c>
      <c r="I1142" s="265"/>
    </row>
    <row r="1143" spans="1:12" x14ac:dyDescent="0.2">
      <c r="A1143" s="271"/>
      <c r="B1143" s="272"/>
      <c r="C1143" s="274"/>
      <c r="D1143" s="274"/>
      <c r="I1143" s="265"/>
    </row>
    <row r="1144" spans="1:12" ht="15.75" x14ac:dyDescent="0.25">
      <c r="B1144" s="263"/>
      <c r="J1144" s="275" t="s">
        <v>34</v>
      </c>
      <c r="K1144" s="419" t="s">
        <v>35</v>
      </c>
      <c r="L1144" s="421"/>
    </row>
    <row r="1145" spans="1:12" ht="15.75" x14ac:dyDescent="0.25">
      <c r="A1145" s="266" t="s">
        <v>36</v>
      </c>
      <c r="B1145" s="276"/>
      <c r="C1145" s="277" t="s">
        <v>80</v>
      </c>
      <c r="D1145" s="278"/>
      <c r="E1145" s="275" t="s">
        <v>38</v>
      </c>
      <c r="F1145" s="275" t="s">
        <v>39</v>
      </c>
      <c r="G1145" s="275" t="s">
        <v>40</v>
      </c>
      <c r="H1145" s="279" t="s">
        <v>0</v>
      </c>
      <c r="I1145" s="280"/>
      <c r="J1145" s="277" t="s">
        <v>41</v>
      </c>
      <c r="K1145" s="281" t="s">
        <v>42</v>
      </c>
      <c r="L1145" s="275" t="s">
        <v>43</v>
      </c>
    </row>
    <row r="1146" spans="1:12" ht="15.75" x14ac:dyDescent="0.25">
      <c r="A1146" s="282"/>
      <c r="B1146" s="276"/>
      <c r="C1146" s="283"/>
      <c r="D1146" s="278"/>
      <c r="E1146" s="284"/>
      <c r="F1146" s="285"/>
      <c r="G1146" s="285"/>
      <c r="H1146" s="286"/>
      <c r="I1146" s="280"/>
      <c r="J1146" s="287"/>
      <c r="K1146" s="288"/>
      <c r="L1146" s="289"/>
    </row>
    <row r="1147" spans="1:12" x14ac:dyDescent="0.2">
      <c r="A1147" s="264">
        <v>1</v>
      </c>
      <c r="B1147" s="263" t="s">
        <v>44</v>
      </c>
      <c r="C1147" s="290">
        <v>50000</v>
      </c>
      <c r="D1147" s="265"/>
      <c r="E1147" s="291"/>
      <c r="F1147" s="292"/>
      <c r="G1147" s="292">
        <f>+C1147</f>
        <v>50000</v>
      </c>
      <c r="H1147" s="293">
        <f>SUM(F1147+G1147)</f>
        <v>50000</v>
      </c>
      <c r="I1147" s="265"/>
      <c r="J1147" s="294">
        <f>+H1147</f>
        <v>50000</v>
      </c>
      <c r="K1147" s="292"/>
      <c r="L1147" s="293"/>
    </row>
    <row r="1148" spans="1:12" x14ac:dyDescent="0.2">
      <c r="B1148" s="263"/>
      <c r="C1148" s="290"/>
      <c r="D1148" s="265"/>
      <c r="E1148" s="291"/>
      <c r="F1148" s="292"/>
      <c r="G1148" s="292"/>
      <c r="H1148" s="293"/>
      <c r="I1148" s="265"/>
      <c r="J1148" s="294"/>
      <c r="K1148" s="292"/>
      <c r="L1148" s="293"/>
    </row>
    <row r="1149" spans="1:12" x14ac:dyDescent="0.2">
      <c r="A1149" s="264">
        <v>2</v>
      </c>
      <c r="B1149" s="263" t="s">
        <v>45</v>
      </c>
      <c r="C1149" s="290">
        <v>89606</v>
      </c>
      <c r="D1149" s="265"/>
      <c r="E1149" s="291">
        <v>1</v>
      </c>
      <c r="F1149" s="292">
        <f>+C1149*E1149</f>
        <v>89606</v>
      </c>
      <c r="G1149" s="292"/>
      <c r="H1149" s="293">
        <f>SUM(F1149+G1149)</f>
        <v>89606</v>
      </c>
      <c r="I1149" s="265"/>
      <c r="J1149" s="294">
        <f>+H1149</f>
        <v>89606</v>
      </c>
      <c r="K1149" s="292"/>
      <c r="L1149" s="293"/>
    </row>
    <row r="1150" spans="1:12" x14ac:dyDescent="0.2">
      <c r="B1150" s="263"/>
      <c r="C1150" s="290"/>
      <c r="D1150" s="265"/>
      <c r="E1150" s="291"/>
      <c r="F1150" s="292"/>
      <c r="G1150" s="292"/>
      <c r="H1150" s="293"/>
      <c r="I1150" s="265"/>
      <c r="J1150" s="294"/>
      <c r="K1150" s="292"/>
      <c r="L1150" s="293"/>
    </row>
    <row r="1151" spans="1:12" x14ac:dyDescent="0.2">
      <c r="A1151" s="264">
        <v>3</v>
      </c>
      <c r="B1151" s="301" t="s">
        <v>176</v>
      </c>
      <c r="C1151" s="290">
        <v>69911</v>
      </c>
      <c r="D1151" s="265"/>
      <c r="E1151" s="291">
        <v>1</v>
      </c>
      <c r="F1151" s="292">
        <f>+C1151*E1151</f>
        <v>69911</v>
      </c>
      <c r="G1151" s="292"/>
      <c r="H1151" s="293">
        <f>SUM(F1151+G1151)</f>
        <v>69911</v>
      </c>
      <c r="I1151" s="265"/>
      <c r="J1151" s="294"/>
      <c r="K1151" s="292"/>
      <c r="L1151" s="293">
        <f>$H$92</f>
        <v>69911</v>
      </c>
    </row>
    <row r="1152" spans="1:12" x14ac:dyDescent="0.2">
      <c r="B1152" s="263"/>
      <c r="C1152" s="290"/>
      <c r="D1152" s="265"/>
      <c r="E1152" s="291"/>
      <c r="F1152" s="292"/>
      <c r="G1152" s="292"/>
      <c r="H1152" s="293"/>
      <c r="I1152" s="265"/>
      <c r="J1152" s="294"/>
      <c r="K1152" s="292"/>
      <c r="L1152" s="293"/>
    </row>
    <row r="1153" spans="1:12" x14ac:dyDescent="0.2">
      <c r="A1153" s="264">
        <v>4</v>
      </c>
      <c r="B1153" s="263" t="s">
        <v>46</v>
      </c>
      <c r="C1153" s="290">
        <v>45865</v>
      </c>
      <c r="D1153" s="265"/>
      <c r="E1153" s="291">
        <v>1</v>
      </c>
      <c r="F1153" s="292">
        <f>+C1153*E1153</f>
        <v>45865</v>
      </c>
      <c r="G1153" s="292"/>
      <c r="H1153" s="293">
        <f>SUM(F1153+G1153)</f>
        <v>45865</v>
      </c>
      <c r="I1153" s="265"/>
      <c r="J1153" s="294">
        <f>+H1153</f>
        <v>45865</v>
      </c>
      <c r="K1153" s="292"/>
      <c r="L1153" s="293"/>
    </row>
    <row r="1154" spans="1:12" x14ac:dyDescent="0.2">
      <c r="B1154" s="263"/>
      <c r="C1154" s="290"/>
      <c r="D1154" s="265"/>
      <c r="E1154" s="291"/>
      <c r="F1154" s="292"/>
      <c r="G1154" s="292"/>
      <c r="H1154" s="293"/>
      <c r="I1154" s="265"/>
      <c r="J1154" s="294"/>
      <c r="K1154" s="292"/>
      <c r="L1154" s="293"/>
    </row>
    <row r="1155" spans="1:12" x14ac:dyDescent="0.2">
      <c r="A1155" s="264">
        <v>5</v>
      </c>
      <c r="B1155" s="263" t="s">
        <v>47</v>
      </c>
      <c r="C1155" s="290">
        <v>42470</v>
      </c>
      <c r="D1155" s="265"/>
      <c r="E1155" s="291">
        <v>1</v>
      </c>
      <c r="F1155" s="292">
        <f>+C1155*E1155</f>
        <v>42470</v>
      </c>
      <c r="G1155" s="292"/>
      <c r="H1155" s="293">
        <f>SUM(F1155+G1155)</f>
        <v>42470</v>
      </c>
      <c r="I1155" s="265"/>
      <c r="J1155" s="294">
        <f>+H1155</f>
        <v>42470</v>
      </c>
      <c r="K1155" s="292"/>
      <c r="L1155" s="293"/>
    </row>
    <row r="1156" spans="1:12" x14ac:dyDescent="0.2">
      <c r="B1156" s="263"/>
      <c r="C1156" s="290"/>
      <c r="D1156" s="265"/>
      <c r="E1156" s="291"/>
      <c r="F1156" s="292"/>
      <c r="G1156" s="292"/>
      <c r="H1156" s="293"/>
      <c r="I1156" s="265"/>
      <c r="J1156" s="294"/>
      <c r="K1156" s="292"/>
      <c r="L1156" s="293"/>
    </row>
    <row r="1157" spans="1:12" x14ac:dyDescent="0.2">
      <c r="A1157" s="264">
        <v>6</v>
      </c>
      <c r="B1157" s="263" t="s">
        <v>113</v>
      </c>
      <c r="C1157" s="290">
        <v>57775</v>
      </c>
      <c r="D1157" s="265"/>
      <c r="E1157" s="291">
        <v>1</v>
      </c>
      <c r="F1157" s="292">
        <f>+C1157*E1157</f>
        <v>57775</v>
      </c>
      <c r="G1157" s="292"/>
      <c r="H1157" s="293">
        <f>SUM(F1157+G1157)</f>
        <v>57775</v>
      </c>
      <c r="I1157" s="265"/>
      <c r="J1157" s="294">
        <f>+H1157</f>
        <v>57775</v>
      </c>
      <c r="K1157" s="292"/>
      <c r="L1157" s="293"/>
    </row>
    <row r="1158" spans="1:12" x14ac:dyDescent="0.2">
      <c r="B1158" s="263"/>
      <c r="C1158" s="290"/>
      <c r="D1158" s="265"/>
      <c r="E1158" s="291"/>
      <c r="F1158" s="292"/>
      <c r="G1158" s="292"/>
      <c r="H1158" s="293"/>
      <c r="I1158" s="265"/>
      <c r="J1158" s="294"/>
      <c r="K1158" s="292"/>
      <c r="L1158" s="293"/>
    </row>
    <row r="1159" spans="1:12" x14ac:dyDescent="0.2">
      <c r="A1159" s="264">
        <v>7</v>
      </c>
      <c r="B1159" s="263" t="s">
        <v>151</v>
      </c>
      <c r="C1159" s="273">
        <v>42470</v>
      </c>
      <c r="D1159" s="265"/>
      <c r="E1159" s="322">
        <f>ROUND(C1136/100,0)</f>
        <v>0</v>
      </c>
      <c r="F1159" s="292">
        <f>SUM(E1159*C1159)</f>
        <v>0</v>
      </c>
      <c r="G1159" s="292"/>
      <c r="H1159" s="293">
        <f>SUM(F1159+G1159)</f>
        <v>0</v>
      </c>
      <c r="I1159" s="265"/>
      <c r="J1159" s="293">
        <f>SUM(H1159+I1159)</f>
        <v>0</v>
      </c>
      <c r="K1159" s="296"/>
      <c r="L1159" s="297"/>
    </row>
    <row r="1160" spans="1:12" x14ac:dyDescent="0.2">
      <c r="A1160" s="264">
        <v>8</v>
      </c>
      <c r="B1160" s="263" t="s">
        <v>199</v>
      </c>
      <c r="C1160" s="273">
        <v>10200</v>
      </c>
      <c r="D1160" s="265"/>
      <c r="E1160" s="322"/>
      <c r="F1160" s="292"/>
      <c r="G1160" s="292">
        <v>10200</v>
      </c>
      <c r="H1160" s="293">
        <v>10200</v>
      </c>
      <c r="I1160" s="265"/>
      <c r="J1160" s="292">
        <v>10200</v>
      </c>
      <c r="K1160" s="292"/>
      <c r="L1160" s="293"/>
    </row>
    <row r="1161" spans="1:12" x14ac:dyDescent="0.2">
      <c r="A1161" s="264">
        <v>9</v>
      </c>
      <c r="B1161" s="263" t="s">
        <v>50</v>
      </c>
      <c r="C1161" s="290">
        <v>15000</v>
      </c>
      <c r="D1161" s="265"/>
      <c r="E1161" s="291"/>
      <c r="F1161" s="292"/>
      <c r="G1161" s="292">
        <f>+C1161</f>
        <v>15000</v>
      </c>
      <c r="H1161" s="293">
        <f>SUM(F1161+G1161)</f>
        <v>15000</v>
      </c>
      <c r="I1161" s="265"/>
      <c r="J1161" s="323">
        <f>+H1161</f>
        <v>15000</v>
      </c>
      <c r="K1161" s="292"/>
      <c r="L1161" s="293"/>
    </row>
    <row r="1162" spans="1:12" x14ac:dyDescent="0.2">
      <c r="B1162" s="263"/>
      <c r="C1162" s="290"/>
      <c r="D1162" s="265"/>
      <c r="E1162" s="291"/>
      <c r="F1162" s="292"/>
      <c r="G1162" s="292"/>
      <c r="H1162" s="293"/>
      <c r="I1162" s="265"/>
      <c r="J1162" s="323"/>
      <c r="K1162" s="292"/>
      <c r="L1162" s="293"/>
    </row>
    <row r="1163" spans="1:12" x14ac:dyDescent="0.2">
      <c r="A1163" s="264">
        <v>10</v>
      </c>
      <c r="B1163" s="263" t="s">
        <v>51</v>
      </c>
      <c r="C1163" s="290">
        <v>30000</v>
      </c>
      <c r="D1163" s="265"/>
      <c r="E1163" s="291"/>
      <c r="F1163" s="292"/>
      <c r="G1163" s="292">
        <f>+C1163</f>
        <v>30000</v>
      </c>
      <c r="H1163" s="293">
        <f>SUM(F1163+G1163)</f>
        <v>30000</v>
      </c>
      <c r="I1163" s="265"/>
      <c r="J1163" s="323">
        <f>+H1163</f>
        <v>30000</v>
      </c>
      <c r="K1163" s="292"/>
      <c r="L1163" s="293"/>
    </row>
    <row r="1164" spans="1:12" x14ac:dyDescent="0.2">
      <c r="B1164" s="263"/>
      <c r="C1164" s="290"/>
      <c r="D1164" s="265"/>
      <c r="E1164" s="291"/>
      <c r="F1164" s="292"/>
      <c r="G1164" s="292"/>
      <c r="H1164" s="293"/>
      <c r="I1164" s="265"/>
      <c r="J1164" s="323"/>
      <c r="K1164" s="292"/>
      <c r="L1164" s="293"/>
    </row>
    <row r="1165" spans="1:12" x14ac:dyDescent="0.2">
      <c r="A1165" s="264">
        <v>11</v>
      </c>
      <c r="B1165" s="263" t="s">
        <v>52</v>
      </c>
      <c r="C1165" s="290">
        <v>40000</v>
      </c>
      <c r="D1165" s="265"/>
      <c r="E1165" s="291"/>
      <c r="F1165" s="292"/>
      <c r="G1165" s="292">
        <f>+C1165</f>
        <v>40000</v>
      </c>
      <c r="H1165" s="293">
        <f>SUM(F1165+G1165)</f>
        <v>40000</v>
      </c>
      <c r="I1165" s="265"/>
      <c r="J1165" s="323">
        <f>+H1165</f>
        <v>40000</v>
      </c>
      <c r="K1165" s="292"/>
      <c r="L1165" s="293"/>
    </row>
    <row r="1166" spans="1:12" x14ac:dyDescent="0.2">
      <c r="B1166" s="263"/>
      <c r="C1166" s="290"/>
      <c r="D1166" s="265"/>
      <c r="E1166" s="291"/>
      <c r="F1166" s="292"/>
      <c r="G1166" s="292"/>
      <c r="H1166" s="293"/>
      <c r="I1166" s="265"/>
      <c r="J1166" s="294"/>
      <c r="K1166" s="292"/>
      <c r="L1166" s="293"/>
    </row>
    <row r="1167" spans="1:12" x14ac:dyDescent="0.2">
      <c r="A1167" s="264">
        <v>12</v>
      </c>
      <c r="B1167" s="263" t="s">
        <v>53</v>
      </c>
      <c r="C1167" s="290"/>
      <c r="D1167" s="265"/>
      <c r="E1167" s="291"/>
      <c r="F1167" s="292"/>
      <c r="G1167" s="292">
        <f>ROUND((F1149+F1151+F1153+F1155+F1157+F1169+F1173+F1175+F1180+F1182+F1184+F1186+F1159+F1188+F1177)*0.15,0)</f>
        <v>188306</v>
      </c>
      <c r="H1167" s="293">
        <f>SUM(G1167)</f>
        <v>188306</v>
      </c>
      <c r="I1167" s="265"/>
      <c r="J1167" s="323">
        <f>ROUND((SUM(F1149:F1159)*0.15),0)</f>
        <v>45844</v>
      </c>
      <c r="K1167" s="324">
        <f>ROUND(SUM(F1169:F1184,F1186)*0.15,0)</f>
        <v>123396</v>
      </c>
      <c r="L1167" s="325">
        <f>ROUND(F1188*0.15,0)</f>
        <v>19067</v>
      </c>
    </row>
    <row r="1168" spans="1:12" x14ac:dyDescent="0.2">
      <c r="B1168" s="263"/>
      <c r="C1168" s="290"/>
      <c r="D1168" s="265"/>
      <c r="E1168" s="291"/>
      <c r="F1168" s="292"/>
      <c r="G1168" s="292"/>
      <c r="H1168" s="293"/>
      <c r="I1168" s="265"/>
      <c r="J1168" s="294"/>
      <c r="K1168" s="296"/>
      <c r="L1168" s="297"/>
    </row>
    <row r="1169" spans="1:12" x14ac:dyDescent="0.2">
      <c r="A1169" s="264">
        <v>13</v>
      </c>
      <c r="B1169" s="263" t="s">
        <v>54</v>
      </c>
      <c r="C1169" s="290"/>
      <c r="D1169" s="265"/>
      <c r="E1169" s="291"/>
      <c r="F1169" s="292">
        <f>(F1149+F1151+F1153+F1155+F1173+F1157+F1175++F1180+F1182+F1184+F1188+F1159+F1186+F1177)*0.2045</f>
        <v>213137.81414999999</v>
      </c>
      <c r="G1169" s="292"/>
      <c r="H1169" s="293">
        <f>(F1149+F1151+F1153+F1155+F1157+F1173+F1175+F1180+F1182+F1184+F1188+F1159+F1186+F1177)*0.2045</f>
        <v>213137.81414999999</v>
      </c>
      <c r="I1169" s="265"/>
      <c r="J1169" s="323">
        <f>ROUND((SUM(F1149:F1159)*0.2045),0)</f>
        <v>62501</v>
      </c>
      <c r="K1169" s="324">
        <f>ROUND((SUM(F1173:F1186)*0.2045),0)</f>
        <v>124643</v>
      </c>
      <c r="L1169" s="325">
        <f>ROUND(F1188*0.2045,0)</f>
        <v>25994</v>
      </c>
    </row>
    <row r="1170" spans="1:12" x14ac:dyDescent="0.2">
      <c r="B1170" s="263"/>
      <c r="C1170" s="290"/>
      <c r="D1170" s="265"/>
      <c r="E1170" s="291"/>
      <c r="F1170" s="292"/>
      <c r="G1170" s="292"/>
      <c r="H1170" s="293"/>
      <c r="I1170" s="265"/>
      <c r="J1170" s="294"/>
      <c r="K1170" s="296"/>
      <c r="L1170" s="297"/>
    </row>
    <row r="1171" spans="1:12" x14ac:dyDescent="0.2">
      <c r="A1171" s="264">
        <v>14</v>
      </c>
      <c r="B1171" s="263" t="s">
        <v>55</v>
      </c>
      <c r="C1171" s="290">
        <v>2000</v>
      </c>
      <c r="D1171" s="265"/>
      <c r="E1171" s="291"/>
      <c r="F1171" s="292"/>
      <c r="G1171" s="292">
        <f>E1196*2000</f>
        <v>32000</v>
      </c>
      <c r="H1171" s="293">
        <f t="shared" ref="H1171" si="146">SUM(F1171+G1171)</f>
        <v>32000</v>
      </c>
      <c r="I1171" s="265"/>
      <c r="J1171" s="294">
        <f>(E1149+E1151+E1153+E1155+E1157+E1159)*2000</f>
        <v>10000</v>
      </c>
      <c r="K1171" s="296">
        <f>ROUND(SUM(E1175,E1180,E1182,E1184,E1186,E1177)*2000,0)</f>
        <v>18000</v>
      </c>
      <c r="L1171" s="297">
        <f>ROUND(E1188*2000,0)</f>
        <v>4000</v>
      </c>
    </row>
    <row r="1172" spans="1:12" x14ac:dyDescent="0.2">
      <c r="B1172" s="263"/>
      <c r="C1172" s="290"/>
      <c r="D1172" s="265"/>
      <c r="E1172" s="291"/>
      <c r="F1172" s="292"/>
      <c r="G1172" s="292"/>
      <c r="H1172" s="293"/>
      <c r="I1172" s="265"/>
      <c r="J1172" s="294"/>
      <c r="K1172" s="296"/>
      <c r="L1172" s="297"/>
    </row>
    <row r="1173" spans="1:12" ht="36.75" customHeight="1" x14ac:dyDescent="0.2">
      <c r="A1173" s="264">
        <v>15</v>
      </c>
      <c r="B1173" s="263" t="s">
        <v>114</v>
      </c>
      <c r="C1173" s="290"/>
      <c r="D1173" s="265"/>
      <c r="E1173" s="291"/>
      <c r="F1173" s="292">
        <f>(F1180+F1184+F1186+F1175+F1177+F1188+F1182)*0.1</f>
        <v>66964.7</v>
      </c>
      <c r="G1173" s="292"/>
      <c r="H1173" s="293">
        <f>SUM(F1173+G1173)</f>
        <v>66964.7</v>
      </c>
      <c r="I1173" s="265"/>
      <c r="J1173" s="294"/>
      <c r="K1173" s="296">
        <f>ROUND((+F1175+F1180+F1184+F1186+F1177+F1182)*0.1,0)</f>
        <v>54254</v>
      </c>
      <c r="L1173" s="297">
        <f>ROUND(F1188*0.1,0)</f>
        <v>12711</v>
      </c>
    </row>
    <row r="1174" spans="1:12" x14ac:dyDescent="0.2">
      <c r="B1174" s="263"/>
      <c r="C1174" s="290"/>
      <c r="D1174" s="265"/>
      <c r="E1174" s="291"/>
      <c r="F1174" s="292"/>
      <c r="G1174" s="292"/>
      <c r="H1174" s="293"/>
      <c r="I1174" s="265"/>
      <c r="J1174" s="294"/>
      <c r="K1174" s="292"/>
      <c r="L1174" s="293"/>
    </row>
    <row r="1175" spans="1:12" x14ac:dyDescent="0.2">
      <c r="A1175" s="264">
        <v>16</v>
      </c>
      <c r="B1175" s="263" t="s">
        <v>57</v>
      </c>
      <c r="C1175" s="290">
        <v>69911</v>
      </c>
      <c r="D1175" s="265"/>
      <c r="E1175" s="326">
        <f>ROUND((E1188+E1184+E1182+E1180+E1186+E1177)/6,0)</f>
        <v>2</v>
      </c>
      <c r="F1175" s="292">
        <f>F1141*E1175</f>
        <v>139822</v>
      </c>
      <c r="G1175" s="292"/>
      <c r="H1175" s="293">
        <f t="shared" ref="H1175" si="147">SUM(F1175+G1175)</f>
        <v>139822</v>
      </c>
      <c r="I1175" s="265"/>
      <c r="J1175" s="291"/>
      <c r="K1175" s="296">
        <f>ROUND(F1175*((+E$49+E$51+E$53)/(E$49+E$51+E$53+E$55)),0)</f>
        <v>88077</v>
      </c>
      <c r="L1175" s="297">
        <f>ROUND((+F1175*(E$55/(+E$49+E$51+E$53+E$55))),0)</f>
        <v>51745</v>
      </c>
    </row>
    <row r="1176" spans="1:12" x14ac:dyDescent="0.2">
      <c r="B1176" s="263"/>
      <c r="C1176" s="290"/>
      <c r="D1176" s="265"/>
      <c r="E1176" s="291"/>
      <c r="F1176" s="292"/>
      <c r="G1176" s="292"/>
      <c r="H1176" s="293"/>
      <c r="I1176" s="265"/>
      <c r="J1176" s="294"/>
      <c r="K1176" s="292"/>
      <c r="L1176" s="293"/>
    </row>
    <row r="1177" spans="1:12" x14ac:dyDescent="0.2">
      <c r="A1177" s="301">
        <v>17</v>
      </c>
      <c r="B1177" s="301" t="s">
        <v>160</v>
      </c>
      <c r="C1177" s="290">
        <v>42470</v>
      </c>
      <c r="D1177" s="265"/>
      <c r="E1177" s="326">
        <f>ROUNDUP((E1188+E1184+E1182+E1180+E1186)/6,0)</f>
        <v>2</v>
      </c>
      <c r="F1177" s="327">
        <f>F1142*E1177</f>
        <v>84940</v>
      </c>
      <c r="H1177" s="293">
        <f t="shared" ref="H1177" si="148">SUM(F1177+G1177)</f>
        <v>84940</v>
      </c>
      <c r="I1177" s="265"/>
      <c r="J1177" s="294"/>
      <c r="K1177" s="296">
        <f>ROUND(F1177*((+E$49+E$51+E$53)/(E$49+E$51+E$53+E$55)),0)</f>
        <v>53506</v>
      </c>
      <c r="L1177" s="297">
        <f>ROUND((+F1177*(E$55/(+E$49+E$51+E$53+E$55))),0)</f>
        <v>31434</v>
      </c>
    </row>
    <row r="1178" spans="1:12" x14ac:dyDescent="0.2">
      <c r="B1178" s="263"/>
      <c r="C1178" s="290"/>
      <c r="D1178" s="265"/>
      <c r="E1178" s="291"/>
      <c r="F1178" s="292"/>
      <c r="G1178" s="292"/>
      <c r="H1178" s="293"/>
      <c r="I1178" s="265"/>
      <c r="J1178" s="294"/>
      <c r="K1178" s="292"/>
      <c r="L1178" s="293"/>
    </row>
    <row r="1179" spans="1:12" ht="15.75" x14ac:dyDescent="0.25">
      <c r="A1179" s="282" t="s">
        <v>115</v>
      </c>
      <c r="B1179" s="263"/>
      <c r="C1179" s="290"/>
      <c r="D1179" s="265"/>
      <c r="E1179" s="291"/>
      <c r="F1179" s="292"/>
      <c r="G1179" s="292"/>
      <c r="H1179" s="293"/>
      <c r="I1179" s="265"/>
      <c r="J1179" s="294"/>
      <c r="K1179" s="292"/>
      <c r="L1179" s="293"/>
    </row>
    <row r="1180" spans="1:12" x14ac:dyDescent="0.2">
      <c r="A1180" s="300">
        <v>18</v>
      </c>
      <c r="B1180" s="301" t="s">
        <v>60</v>
      </c>
      <c r="C1180" s="302">
        <v>63555</v>
      </c>
      <c r="D1180" s="303"/>
      <c r="E1180" s="304">
        <f>ROUND(C1136/30,0)</f>
        <v>1</v>
      </c>
      <c r="F1180" s="305">
        <f>F1140*E1180</f>
        <v>63555</v>
      </c>
      <c r="G1180" s="305"/>
      <c r="H1180" s="293">
        <f t="shared" ref="H1180" si="149">SUM(F1180+G1180)</f>
        <v>63555</v>
      </c>
      <c r="I1180" s="303"/>
      <c r="J1180" s="306"/>
      <c r="K1180" s="292">
        <f>SUM(E1180*F1140)</f>
        <v>63555</v>
      </c>
      <c r="L1180" s="293"/>
    </row>
    <row r="1181" spans="1:12" x14ac:dyDescent="0.2">
      <c r="A1181" s="301"/>
      <c r="B1181" s="301"/>
      <c r="C1181" s="290"/>
      <c r="D1181" s="265"/>
      <c r="E1181" s="291"/>
      <c r="F1181" s="292"/>
      <c r="G1181" s="292"/>
      <c r="H1181" s="293"/>
      <c r="I1181" s="265"/>
      <c r="J1181" s="294"/>
      <c r="K1181" s="292"/>
      <c r="L1181" s="293"/>
    </row>
    <row r="1182" spans="1:12" ht="30" x14ac:dyDescent="0.2">
      <c r="A1182" s="300">
        <v>19</v>
      </c>
      <c r="B1182" s="301" t="s">
        <v>61</v>
      </c>
      <c r="C1182" s="290">
        <v>63555</v>
      </c>
      <c r="D1182" s="265"/>
      <c r="E1182" s="291">
        <f>1</f>
        <v>1</v>
      </c>
      <c r="F1182" s="292">
        <f>F1140*E1182</f>
        <v>63555</v>
      </c>
      <c r="G1182" s="292"/>
      <c r="H1182" s="293">
        <f t="shared" ref="H1182" si="150">SUM(F1182+G1182)</f>
        <v>63555</v>
      </c>
      <c r="I1182" s="265"/>
      <c r="J1182" s="294" t="s">
        <v>62</v>
      </c>
      <c r="K1182" s="292">
        <f>SUM(E1182*F1140)</f>
        <v>63555</v>
      </c>
      <c r="L1182" s="293"/>
    </row>
    <row r="1183" spans="1:12" x14ac:dyDescent="0.2">
      <c r="A1183" s="301"/>
      <c r="B1183" s="301"/>
      <c r="C1183" s="290"/>
      <c r="D1183" s="265"/>
      <c r="E1183" s="291"/>
      <c r="F1183" s="292"/>
      <c r="G1183" s="292"/>
      <c r="H1183" s="293"/>
      <c r="I1183" s="265"/>
      <c r="J1183" s="294"/>
      <c r="K1183" s="292"/>
      <c r="L1183" s="293"/>
    </row>
    <row r="1184" spans="1:12" x14ac:dyDescent="0.2">
      <c r="A1184" s="301">
        <v>20</v>
      </c>
      <c r="B1184" s="301" t="s">
        <v>63</v>
      </c>
      <c r="C1184" s="290">
        <v>63555</v>
      </c>
      <c r="D1184" s="265"/>
      <c r="E1184" s="291">
        <f>ROUND(C1136/20,0)</f>
        <v>2</v>
      </c>
      <c r="F1184" s="292">
        <f>F1140*E1184</f>
        <v>127110</v>
      </c>
      <c r="G1184" s="292"/>
      <c r="H1184" s="293">
        <f t="shared" ref="H1184" si="151">SUM(F1184+G1184)</f>
        <v>127110</v>
      </c>
      <c r="I1184" s="265"/>
      <c r="J1184" s="294"/>
      <c r="K1184" s="292">
        <f>SUM(E1184*F1140)</f>
        <v>127110</v>
      </c>
      <c r="L1184" s="293"/>
    </row>
    <row r="1185" spans="1:12" x14ac:dyDescent="0.2">
      <c r="A1185" s="301"/>
      <c r="B1185" s="301"/>
      <c r="C1185" s="290"/>
      <c r="D1185" s="265"/>
      <c r="E1185" s="291"/>
      <c r="F1185" s="292"/>
      <c r="G1185" s="292"/>
      <c r="H1185" s="293"/>
      <c r="I1185" s="265"/>
      <c r="J1185" s="294"/>
      <c r="K1185" s="292"/>
      <c r="L1185" s="293"/>
    </row>
    <row r="1186" spans="1:12" x14ac:dyDescent="0.2">
      <c r="A1186" s="301">
        <v>21</v>
      </c>
      <c r="B1186" s="301" t="s">
        <v>111</v>
      </c>
      <c r="C1186" s="290">
        <v>63555</v>
      </c>
      <c r="D1186" s="265"/>
      <c r="E1186" s="328">
        <f>ROUNDDOWN(C1137/40,0)</f>
        <v>1</v>
      </c>
      <c r="F1186" s="292">
        <f>F1140*E1186</f>
        <v>63555</v>
      </c>
      <c r="G1186" s="292"/>
      <c r="H1186" s="293">
        <f t="shared" ref="H1186" si="152">SUM(F1186+G1186)</f>
        <v>63555</v>
      </c>
      <c r="I1186" s="290"/>
      <c r="K1186" s="265">
        <f>SUM(E1186*F1140)</f>
        <v>63555</v>
      </c>
      <c r="L1186" s="329"/>
    </row>
    <row r="1187" spans="1:12" x14ac:dyDescent="0.2">
      <c r="A1187" s="301"/>
      <c r="B1187" s="301"/>
      <c r="C1187" s="290"/>
      <c r="D1187" s="265"/>
      <c r="E1187" s="291"/>
      <c r="F1187" s="292"/>
      <c r="G1187" s="292"/>
      <c r="H1187" s="293"/>
      <c r="I1187" s="290"/>
      <c r="L1187" s="329"/>
    </row>
    <row r="1188" spans="1:12" x14ac:dyDescent="0.2">
      <c r="A1188" s="301">
        <v>22</v>
      </c>
      <c r="B1188" s="301" t="s">
        <v>112</v>
      </c>
      <c r="C1188" s="290">
        <v>63555</v>
      </c>
      <c r="D1188" s="265"/>
      <c r="E1188" s="328">
        <f>ROUND(C1137/20,0)</f>
        <v>2</v>
      </c>
      <c r="F1188" s="292">
        <f>SUM(E1188*F1140)</f>
        <v>127110</v>
      </c>
      <c r="H1188" s="293">
        <f t="shared" ref="H1188" si="153">SUM(F1188+G1188)</f>
        <v>127110</v>
      </c>
      <c r="I1188" s="290"/>
      <c r="K1188" s="265"/>
      <c r="L1188" s="293">
        <f>SUM(H1188)</f>
        <v>127110</v>
      </c>
    </row>
    <row r="1189" spans="1:12" x14ac:dyDescent="0.2">
      <c r="A1189" s="301"/>
      <c r="B1189" s="301"/>
      <c r="C1189" s="290"/>
      <c r="D1189" s="265"/>
      <c r="E1189" s="291"/>
      <c r="F1189" s="292"/>
      <c r="H1189" s="293"/>
      <c r="I1189" s="290"/>
      <c r="L1189" s="329"/>
    </row>
    <row r="1190" spans="1:12" x14ac:dyDescent="0.2">
      <c r="A1190" s="301">
        <v>23</v>
      </c>
      <c r="B1190" s="301" t="s">
        <v>155</v>
      </c>
      <c r="C1190" s="295"/>
      <c r="D1190" s="307"/>
      <c r="E1190" s="291"/>
      <c r="F1190" s="292"/>
      <c r="G1190" s="292">
        <f>ROUND(175*C1135,0)</f>
        <v>122850</v>
      </c>
      <c r="H1190" s="293">
        <f t="shared" ref="H1190" si="154">SUM(F1190+G1190)</f>
        <v>122850</v>
      </c>
      <c r="I1190" s="265"/>
      <c r="J1190" s="294" t="s">
        <v>62</v>
      </c>
      <c r="K1190" s="292">
        <f>ROUND(175/2*C1135,0)</f>
        <v>61425</v>
      </c>
      <c r="L1190" s="293">
        <f>ROUND(175/2*C1135,0)</f>
        <v>61425</v>
      </c>
    </row>
    <row r="1191" spans="1:12" x14ac:dyDescent="0.2">
      <c r="A1191" s="301"/>
      <c r="B1191" s="301"/>
      <c r="C1191" s="290"/>
      <c r="D1191" s="265"/>
      <c r="E1191" s="291"/>
      <c r="F1191" s="292"/>
      <c r="G1191" s="292"/>
      <c r="H1191" s="293"/>
      <c r="I1191" s="265"/>
      <c r="J1191" s="294"/>
      <c r="K1191" s="292"/>
      <c r="L1191" s="293"/>
    </row>
    <row r="1192" spans="1:12" x14ac:dyDescent="0.2">
      <c r="A1192" s="301">
        <v>24</v>
      </c>
      <c r="B1192" s="301" t="s">
        <v>66</v>
      </c>
      <c r="C1192" s="290">
        <v>11500</v>
      </c>
      <c r="D1192" s="265"/>
      <c r="E1192" s="291"/>
      <c r="F1192" s="292"/>
      <c r="G1192" s="292">
        <f>(E1149+E1175+E1186+E1180+E1182+E1184+E1188+E1177)*11500</f>
        <v>138000</v>
      </c>
      <c r="H1192" s="293">
        <f>SUM(F1192:G1192)</f>
        <v>138000</v>
      </c>
      <c r="I1192" s="265"/>
      <c r="J1192" s="323">
        <f>ROUND(11500*E1149,0)</f>
        <v>11500</v>
      </c>
      <c r="K1192" s="296">
        <f>(ROUND(11500*(+E1184+E1182+E1180+E1186+E1175+E1177),0))</f>
        <v>103500</v>
      </c>
      <c r="L1192" s="297">
        <f>ROUND(11500*E1188,0)</f>
        <v>23000</v>
      </c>
    </row>
    <row r="1193" spans="1:12" x14ac:dyDescent="0.2">
      <c r="A1193" s="301"/>
      <c r="B1193" s="301"/>
      <c r="C1193" s="290"/>
      <c r="D1193" s="265"/>
      <c r="E1193" s="291"/>
      <c r="G1193" s="292"/>
      <c r="H1193" s="293"/>
      <c r="J1193" s="294"/>
      <c r="K1193" s="296"/>
      <c r="L1193" s="297"/>
    </row>
    <row r="1194" spans="1:12" x14ac:dyDescent="0.2">
      <c r="A1194" s="301">
        <v>25</v>
      </c>
      <c r="B1194" s="301" t="s">
        <v>82</v>
      </c>
      <c r="C1194" s="290"/>
      <c r="D1194" s="265"/>
      <c r="E1194" s="291"/>
      <c r="G1194" s="292">
        <v>10350</v>
      </c>
      <c r="H1194" s="292">
        <v>10350</v>
      </c>
      <c r="I1194" s="330"/>
      <c r="J1194" s="292"/>
      <c r="K1194" s="296"/>
      <c r="L1194" s="297">
        <f>+H1194</f>
        <v>10350</v>
      </c>
    </row>
    <row r="1195" spans="1:12" ht="15.75" thickBot="1" x14ac:dyDescent="0.25">
      <c r="B1195" s="331"/>
      <c r="C1195" s="332"/>
      <c r="D1195" s="265"/>
      <c r="E1195" s="291"/>
      <c r="H1195" s="293"/>
      <c r="I1195" s="333"/>
      <c r="J1195" s="265"/>
      <c r="L1195" s="293"/>
    </row>
    <row r="1196" spans="1:12" ht="16.5" thickBot="1" x14ac:dyDescent="0.3">
      <c r="B1196" s="334" t="s">
        <v>67</v>
      </c>
      <c r="C1196" s="335"/>
      <c r="D1196" s="336"/>
      <c r="E1196" s="337">
        <f>SUM(E1146:E1195)</f>
        <v>16</v>
      </c>
      <c r="F1196" s="336">
        <f>SUM(F1146:F1194)</f>
        <v>1255376.5141499999</v>
      </c>
      <c r="G1196" s="336">
        <f>SUM(G1147:G1194)</f>
        <v>636706</v>
      </c>
      <c r="H1196" s="338">
        <f>SUM(H1147:H1195)</f>
        <v>1892082.5141499999</v>
      </c>
      <c r="I1196" s="336"/>
      <c r="J1196" s="339">
        <f>SUM(J1147:J1194)</f>
        <v>510761</v>
      </c>
      <c r="K1196" s="336">
        <f>SUM(K1147:K1195)</f>
        <v>944576</v>
      </c>
      <c r="L1196" s="340">
        <f>SUM(L1146:L1195)</f>
        <v>436747</v>
      </c>
    </row>
    <row r="1197" spans="1:12" x14ac:dyDescent="0.2">
      <c r="G1197" s="264" t="s">
        <v>206</v>
      </c>
      <c r="J1197" s="345">
        <f>SUM(J1196*0.875)</f>
        <v>446915.875</v>
      </c>
    </row>
    <row r="1198" spans="1:12" ht="15.75" x14ac:dyDescent="0.25">
      <c r="C1198" s="272"/>
      <c r="D1198" s="272"/>
      <c r="E1198" s="274"/>
      <c r="L1198" s="347"/>
    </row>
    <row r="1199" spans="1:12" x14ac:dyDescent="0.2">
      <c r="A1199" s="262"/>
    </row>
    <row r="1200" spans="1:12" ht="15.75" x14ac:dyDescent="0.25">
      <c r="A1200" s="266" t="s">
        <v>24</v>
      </c>
      <c r="B1200" s="267"/>
      <c r="C1200" s="320" t="s">
        <v>101</v>
      </c>
    </row>
    <row r="1201" spans="1:12" ht="15.75" x14ac:dyDescent="0.25">
      <c r="A1201" s="266" t="s">
        <v>106</v>
      </c>
      <c r="B1201" s="263"/>
    </row>
    <row r="1202" spans="1:12" x14ac:dyDescent="0.2">
      <c r="B1202" s="263"/>
      <c r="C1202" s="268"/>
      <c r="D1202" s="268"/>
    </row>
    <row r="1203" spans="1:12" x14ac:dyDescent="0.2">
      <c r="B1203" s="263"/>
      <c r="C1203" s="269"/>
      <c r="D1203" s="269"/>
    </row>
    <row r="1204" spans="1:12" ht="15.75" x14ac:dyDescent="0.25">
      <c r="A1204" s="264" t="s">
        <v>27</v>
      </c>
      <c r="B1204" s="263"/>
      <c r="C1204" s="270">
        <v>3127</v>
      </c>
      <c r="D1204" s="270" t="s">
        <v>79</v>
      </c>
      <c r="E1204" s="271"/>
    </row>
    <row r="1205" spans="1:12" ht="15.75" x14ac:dyDescent="0.25">
      <c r="A1205" s="264" t="s">
        <v>163</v>
      </c>
      <c r="B1205" s="263"/>
      <c r="C1205" s="270">
        <v>198</v>
      </c>
      <c r="D1205" s="268"/>
      <c r="E1205" s="271"/>
    </row>
    <row r="1206" spans="1:12" ht="15.75" x14ac:dyDescent="0.25">
      <c r="A1206" s="264" t="s">
        <v>29</v>
      </c>
      <c r="B1206" s="263"/>
      <c r="C1206" s="270">
        <v>208.46666666666667</v>
      </c>
      <c r="D1206" s="270"/>
      <c r="E1206" s="271"/>
    </row>
    <row r="1207" spans="1:12" ht="15.75" x14ac:dyDescent="0.25">
      <c r="B1207" s="263" t="s">
        <v>30</v>
      </c>
      <c r="C1207" s="270">
        <v>16</v>
      </c>
      <c r="D1207" s="268"/>
      <c r="E1207" s="271"/>
    </row>
    <row r="1208" spans="1:12" x14ac:dyDescent="0.2">
      <c r="B1208" s="263"/>
    </row>
    <row r="1209" spans="1:12" x14ac:dyDescent="0.2">
      <c r="A1209" s="271" t="s">
        <v>107</v>
      </c>
      <c r="B1209" s="272"/>
      <c r="D1209" s="273"/>
      <c r="F1209" s="273">
        <v>63555</v>
      </c>
      <c r="I1209" s="265"/>
    </row>
    <row r="1210" spans="1:12" x14ac:dyDescent="0.2">
      <c r="A1210" s="271" t="s">
        <v>108</v>
      </c>
      <c r="B1210" s="272"/>
      <c r="D1210" s="273"/>
      <c r="F1210" s="273">
        <v>69911</v>
      </c>
      <c r="I1210" s="265"/>
    </row>
    <row r="1211" spans="1:12" x14ac:dyDescent="0.2">
      <c r="A1211" s="271" t="s">
        <v>109</v>
      </c>
      <c r="B1211" s="272"/>
      <c r="D1211" s="273"/>
      <c r="F1211" s="273">
        <v>42470</v>
      </c>
      <c r="I1211" s="265"/>
    </row>
    <row r="1212" spans="1:12" x14ac:dyDescent="0.2">
      <c r="A1212" s="271"/>
      <c r="B1212" s="272"/>
      <c r="C1212" s="274"/>
      <c r="D1212" s="274"/>
      <c r="I1212" s="265"/>
    </row>
    <row r="1213" spans="1:12" ht="15.75" x14ac:dyDescent="0.25">
      <c r="B1213" s="263"/>
      <c r="J1213" s="275" t="s">
        <v>34</v>
      </c>
      <c r="K1213" s="419" t="s">
        <v>35</v>
      </c>
      <c r="L1213" s="420"/>
    </row>
    <row r="1214" spans="1:12" ht="15.75" x14ac:dyDescent="0.25">
      <c r="A1214" s="266" t="s">
        <v>36</v>
      </c>
      <c r="B1214" s="276"/>
      <c r="C1214" s="277" t="s">
        <v>80</v>
      </c>
      <c r="D1214" s="278"/>
      <c r="E1214" s="275" t="s">
        <v>38</v>
      </c>
      <c r="F1214" s="275" t="s">
        <v>39</v>
      </c>
      <c r="G1214" s="275" t="s">
        <v>40</v>
      </c>
      <c r="H1214" s="279" t="s">
        <v>0</v>
      </c>
      <c r="I1214" s="280"/>
      <c r="J1214" s="277" t="s">
        <v>41</v>
      </c>
      <c r="K1214" s="281" t="s">
        <v>42</v>
      </c>
      <c r="L1214" s="275" t="s">
        <v>43</v>
      </c>
    </row>
    <row r="1215" spans="1:12" ht="15.75" x14ac:dyDescent="0.25">
      <c r="A1215" s="282"/>
      <c r="B1215" s="276"/>
      <c r="C1215" s="283"/>
      <c r="D1215" s="278"/>
      <c r="E1215" s="284"/>
      <c r="F1215" s="285"/>
      <c r="G1215" s="285"/>
      <c r="H1215" s="286"/>
      <c r="I1215" s="280"/>
      <c r="J1215" s="287"/>
      <c r="K1215" s="288"/>
      <c r="L1215" s="289"/>
    </row>
    <row r="1216" spans="1:12" x14ac:dyDescent="0.2">
      <c r="A1216" s="264">
        <v>1</v>
      </c>
      <c r="B1216" s="263" t="s">
        <v>44</v>
      </c>
      <c r="C1216" s="290">
        <v>50000</v>
      </c>
      <c r="D1216" s="265"/>
      <c r="E1216" s="291"/>
      <c r="F1216" s="292"/>
      <c r="G1216" s="292">
        <f>+C1216</f>
        <v>50000</v>
      </c>
      <c r="H1216" s="293">
        <f>SUM(F1216+G1216)</f>
        <v>50000</v>
      </c>
      <c r="I1216" s="265"/>
      <c r="J1216" s="294">
        <f>+H1216</f>
        <v>50000</v>
      </c>
      <c r="K1216" s="292"/>
      <c r="L1216" s="293"/>
    </row>
    <row r="1217" spans="1:12" x14ac:dyDescent="0.2">
      <c r="B1217" s="263"/>
      <c r="C1217" s="290"/>
      <c r="D1217" s="265"/>
      <c r="E1217" s="291"/>
      <c r="F1217" s="292"/>
      <c r="G1217" s="292"/>
      <c r="H1217" s="293"/>
      <c r="I1217" s="265"/>
      <c r="J1217" s="294"/>
      <c r="K1217" s="292"/>
      <c r="L1217" s="293"/>
    </row>
    <row r="1218" spans="1:12" x14ac:dyDescent="0.2">
      <c r="A1218" s="264">
        <v>2</v>
      </c>
      <c r="B1218" s="263" t="s">
        <v>45</v>
      </c>
      <c r="C1218" s="290">
        <v>89606</v>
      </c>
      <c r="D1218" s="265"/>
      <c r="E1218" s="291">
        <v>1</v>
      </c>
      <c r="F1218" s="292">
        <f>+C1218*E1218</f>
        <v>89606</v>
      </c>
      <c r="G1218" s="292"/>
      <c r="H1218" s="293">
        <f>SUM(F1218+G1218)</f>
        <v>89606</v>
      </c>
      <c r="I1218" s="265"/>
      <c r="J1218" s="294">
        <f>+H1218</f>
        <v>89606</v>
      </c>
      <c r="K1218" s="292"/>
      <c r="L1218" s="293"/>
    </row>
    <row r="1219" spans="1:12" x14ac:dyDescent="0.2">
      <c r="B1219" s="263"/>
      <c r="C1219" s="290"/>
      <c r="D1219" s="265"/>
      <c r="E1219" s="291"/>
      <c r="F1219" s="292"/>
      <c r="G1219" s="292"/>
      <c r="H1219" s="293"/>
      <c r="I1219" s="265"/>
      <c r="J1219" s="294"/>
      <c r="K1219" s="292"/>
      <c r="L1219" s="293"/>
    </row>
    <row r="1220" spans="1:12" x14ac:dyDescent="0.2">
      <c r="A1220" s="264">
        <v>3</v>
      </c>
      <c r="B1220" s="301" t="s">
        <v>176</v>
      </c>
      <c r="C1220" s="290">
        <v>69911</v>
      </c>
      <c r="D1220" s="265"/>
      <c r="E1220" s="291">
        <v>1</v>
      </c>
      <c r="F1220" s="292">
        <f>+C1220*E1220</f>
        <v>69911</v>
      </c>
      <c r="G1220" s="292"/>
      <c r="H1220" s="293">
        <f>SUM(F1220+G1220)</f>
        <v>69911</v>
      </c>
      <c r="I1220" s="265"/>
      <c r="J1220" s="294"/>
      <c r="K1220" s="292"/>
      <c r="L1220" s="293">
        <f>$H$92</f>
        <v>69911</v>
      </c>
    </row>
    <row r="1221" spans="1:12" x14ac:dyDescent="0.2">
      <c r="B1221" s="263"/>
      <c r="C1221" s="290"/>
      <c r="D1221" s="265"/>
      <c r="E1221" s="291"/>
      <c r="F1221" s="292"/>
      <c r="G1221" s="292"/>
      <c r="H1221" s="293"/>
      <c r="I1221" s="265"/>
      <c r="J1221" s="294"/>
      <c r="K1221" s="292"/>
      <c r="L1221" s="293"/>
    </row>
    <row r="1222" spans="1:12" x14ac:dyDescent="0.2">
      <c r="A1222" s="264">
        <v>4</v>
      </c>
      <c r="B1222" s="263" t="s">
        <v>46</v>
      </c>
      <c r="C1222" s="290">
        <v>45865</v>
      </c>
      <c r="D1222" s="265"/>
      <c r="E1222" s="291">
        <v>1</v>
      </c>
      <c r="F1222" s="292">
        <f>+C1222*E1222</f>
        <v>45865</v>
      </c>
      <c r="G1222" s="292"/>
      <c r="H1222" s="293">
        <f>SUM(F1222+G1222)</f>
        <v>45865</v>
      </c>
      <c r="I1222" s="265"/>
      <c r="J1222" s="294">
        <f>+H1222</f>
        <v>45865</v>
      </c>
      <c r="K1222" s="292"/>
      <c r="L1222" s="293"/>
    </row>
    <row r="1223" spans="1:12" x14ac:dyDescent="0.2">
      <c r="B1223" s="263"/>
      <c r="C1223" s="290"/>
      <c r="D1223" s="265"/>
      <c r="E1223" s="291"/>
      <c r="F1223" s="292"/>
      <c r="G1223" s="292"/>
      <c r="H1223" s="293"/>
      <c r="I1223" s="265"/>
      <c r="J1223" s="294"/>
      <c r="K1223" s="292"/>
      <c r="L1223" s="293"/>
    </row>
    <row r="1224" spans="1:12" x14ac:dyDescent="0.2">
      <c r="A1224" s="264">
        <v>5</v>
      </c>
      <c r="B1224" s="263" t="s">
        <v>47</v>
      </c>
      <c r="C1224" s="290">
        <v>42470</v>
      </c>
      <c r="D1224" s="265"/>
      <c r="E1224" s="291">
        <v>1</v>
      </c>
      <c r="F1224" s="292">
        <f>+C1224*E1224</f>
        <v>42470</v>
      </c>
      <c r="G1224" s="292"/>
      <c r="H1224" s="293">
        <f>SUM(F1224+G1224)</f>
        <v>42470</v>
      </c>
      <c r="I1224" s="265"/>
      <c r="J1224" s="294">
        <f>+H1224</f>
        <v>42470</v>
      </c>
      <c r="K1224" s="292"/>
      <c r="L1224" s="293"/>
    </row>
    <row r="1225" spans="1:12" x14ac:dyDescent="0.2">
      <c r="B1225" s="263"/>
      <c r="C1225" s="290"/>
      <c r="D1225" s="265"/>
      <c r="E1225" s="291"/>
      <c r="F1225" s="292"/>
      <c r="G1225" s="292"/>
      <c r="H1225" s="293"/>
      <c r="I1225" s="265"/>
      <c r="J1225" s="294"/>
      <c r="K1225" s="292"/>
      <c r="L1225" s="293"/>
    </row>
    <row r="1226" spans="1:12" x14ac:dyDescent="0.2">
      <c r="A1226" s="264">
        <v>6</v>
      </c>
      <c r="B1226" s="263" t="s">
        <v>113</v>
      </c>
      <c r="C1226" s="290">
        <v>57775</v>
      </c>
      <c r="D1226" s="265"/>
      <c r="E1226" s="291">
        <v>1</v>
      </c>
      <c r="F1226" s="292">
        <f>+C1226*E1226</f>
        <v>57775</v>
      </c>
      <c r="G1226" s="292"/>
      <c r="H1226" s="293">
        <f>SUM(F1226+G1226)</f>
        <v>57775</v>
      </c>
      <c r="I1226" s="265"/>
      <c r="J1226" s="294">
        <f>+H1226</f>
        <v>57775</v>
      </c>
      <c r="K1226" s="292"/>
      <c r="L1226" s="293"/>
    </row>
    <row r="1227" spans="1:12" x14ac:dyDescent="0.2">
      <c r="B1227" s="263"/>
      <c r="C1227" s="290"/>
      <c r="D1227" s="265"/>
      <c r="E1227" s="291"/>
      <c r="F1227" s="292"/>
      <c r="G1227" s="292"/>
      <c r="H1227" s="293"/>
      <c r="I1227" s="265"/>
      <c r="J1227" s="294"/>
      <c r="K1227" s="292"/>
      <c r="L1227" s="293"/>
    </row>
    <row r="1228" spans="1:12" x14ac:dyDescent="0.2">
      <c r="A1228" s="264">
        <v>7</v>
      </c>
      <c r="B1228" s="263" t="s">
        <v>151</v>
      </c>
      <c r="C1228" s="273">
        <v>42470</v>
      </c>
      <c r="D1228" s="265"/>
      <c r="E1228" s="322">
        <f>ROUND(C1205/100,0)</f>
        <v>2</v>
      </c>
      <c r="F1228" s="292">
        <f>SUM(E1228*C1228)</f>
        <v>84940</v>
      </c>
      <c r="G1228" s="292"/>
      <c r="H1228" s="293">
        <f>SUM(F1228+G1228)</f>
        <v>84940</v>
      </c>
      <c r="I1228" s="265"/>
      <c r="J1228" s="293">
        <f>SUM(H1228+I1228)</f>
        <v>84940</v>
      </c>
      <c r="K1228" s="296"/>
      <c r="L1228" s="297"/>
    </row>
    <row r="1229" spans="1:12" x14ac:dyDescent="0.2">
      <c r="B1229" s="263" t="s">
        <v>199</v>
      </c>
      <c r="C1229" s="273"/>
      <c r="D1229" s="265"/>
      <c r="E1229" s="322"/>
      <c r="F1229" s="292"/>
      <c r="G1229" s="292">
        <v>10200</v>
      </c>
      <c r="H1229" s="293">
        <v>10200</v>
      </c>
      <c r="I1229" s="265"/>
      <c r="J1229" s="292">
        <v>10200</v>
      </c>
      <c r="K1229" s="292"/>
      <c r="L1229" s="293"/>
    </row>
    <row r="1230" spans="1:12" x14ac:dyDescent="0.2">
      <c r="A1230" s="264">
        <v>8</v>
      </c>
      <c r="B1230" s="263" t="s">
        <v>50</v>
      </c>
      <c r="C1230" s="290">
        <v>15000</v>
      </c>
      <c r="D1230" s="265"/>
      <c r="E1230" s="291"/>
      <c r="F1230" s="292"/>
      <c r="G1230" s="292">
        <f>+C1230</f>
        <v>15000</v>
      </c>
      <c r="H1230" s="293">
        <f>SUM(F1230+G1230)</f>
        <v>15000</v>
      </c>
      <c r="I1230" s="265"/>
      <c r="J1230" s="323">
        <f>+H1230</f>
        <v>15000</v>
      </c>
      <c r="K1230" s="292"/>
      <c r="L1230" s="293"/>
    </row>
    <row r="1231" spans="1:12" x14ac:dyDescent="0.2">
      <c r="B1231" s="263"/>
      <c r="C1231" s="290"/>
      <c r="D1231" s="265"/>
      <c r="E1231" s="291"/>
      <c r="F1231" s="292"/>
      <c r="G1231" s="292"/>
      <c r="H1231" s="293"/>
      <c r="I1231" s="265"/>
      <c r="J1231" s="323"/>
      <c r="K1231" s="292"/>
      <c r="L1231" s="293"/>
    </row>
    <row r="1232" spans="1:12" x14ac:dyDescent="0.2">
      <c r="A1232" s="264">
        <v>9</v>
      </c>
      <c r="B1232" s="263" t="s">
        <v>51</v>
      </c>
      <c r="C1232" s="290">
        <v>30000</v>
      </c>
      <c r="D1232" s="265"/>
      <c r="E1232" s="291"/>
      <c r="F1232" s="292"/>
      <c r="G1232" s="292">
        <f>+C1232</f>
        <v>30000</v>
      </c>
      <c r="H1232" s="293">
        <f>SUM(F1232+G1232)</f>
        <v>30000</v>
      </c>
      <c r="I1232" s="265"/>
      <c r="J1232" s="323">
        <f>+H1232</f>
        <v>30000</v>
      </c>
      <c r="K1232" s="292"/>
      <c r="L1232" s="293"/>
    </row>
    <row r="1233" spans="1:12" x14ac:dyDescent="0.2">
      <c r="B1233" s="263"/>
      <c r="C1233" s="290"/>
      <c r="D1233" s="265"/>
      <c r="E1233" s="291"/>
      <c r="F1233" s="292"/>
      <c r="G1233" s="292"/>
      <c r="H1233" s="293"/>
      <c r="I1233" s="265"/>
      <c r="J1233" s="323"/>
      <c r="K1233" s="292"/>
      <c r="L1233" s="293"/>
    </row>
    <row r="1234" spans="1:12" x14ac:dyDescent="0.2">
      <c r="A1234" s="264">
        <v>10</v>
      </c>
      <c r="B1234" s="263" t="s">
        <v>52</v>
      </c>
      <c r="C1234" s="290">
        <v>40000</v>
      </c>
      <c r="D1234" s="265"/>
      <c r="E1234" s="291"/>
      <c r="F1234" s="292"/>
      <c r="G1234" s="292">
        <f>+C1234</f>
        <v>40000</v>
      </c>
      <c r="H1234" s="293">
        <f>SUM(F1234+G1234)</f>
        <v>40000</v>
      </c>
      <c r="I1234" s="265"/>
      <c r="J1234" s="323">
        <f>+H1234</f>
        <v>40000</v>
      </c>
      <c r="K1234" s="292"/>
      <c r="L1234" s="293"/>
    </row>
    <row r="1235" spans="1:12" x14ac:dyDescent="0.2">
      <c r="B1235" s="263"/>
      <c r="C1235" s="290"/>
      <c r="D1235" s="265"/>
      <c r="E1235" s="291"/>
      <c r="F1235" s="292"/>
      <c r="G1235" s="292"/>
      <c r="H1235" s="293"/>
      <c r="I1235" s="265"/>
      <c r="J1235" s="294"/>
      <c r="K1235" s="292"/>
      <c r="L1235" s="293"/>
    </row>
    <row r="1236" spans="1:12" x14ac:dyDescent="0.2">
      <c r="A1236" s="264">
        <v>11</v>
      </c>
      <c r="B1236" s="263" t="s">
        <v>53</v>
      </c>
      <c r="C1236" s="290"/>
      <c r="D1236" s="265"/>
      <c r="E1236" s="291"/>
      <c r="F1236" s="292"/>
      <c r="G1236" s="292">
        <f>ROUND((F1218+F1220+F1222+F1224+F1226+F1238+F1242+F1244+F1249+F1251+F1253+F1255+F1228+F1257+F1246)*0.15,0)</f>
        <v>635295</v>
      </c>
      <c r="H1236" s="293">
        <f>SUM(G1236)</f>
        <v>635295</v>
      </c>
      <c r="I1236" s="265"/>
      <c r="J1236" s="323">
        <f>ROUND((SUM(F1218:F1228)*0.15),0)</f>
        <v>58585</v>
      </c>
      <c r="K1236" s="324">
        <f>ROUND(SUM(F1238:F1253,F1255)*0.15,0)</f>
        <v>481377</v>
      </c>
      <c r="L1236" s="325">
        <f>ROUND(F1257*0.15,0)</f>
        <v>95333</v>
      </c>
    </row>
    <row r="1237" spans="1:12" x14ac:dyDescent="0.2">
      <c r="B1237" s="263"/>
      <c r="C1237" s="290"/>
      <c r="D1237" s="265"/>
      <c r="E1237" s="291"/>
      <c r="F1237" s="292"/>
      <c r="G1237" s="292"/>
      <c r="H1237" s="293"/>
      <c r="I1237" s="265"/>
      <c r="J1237" s="294"/>
      <c r="K1237" s="296"/>
      <c r="L1237" s="297"/>
    </row>
    <row r="1238" spans="1:12" x14ac:dyDescent="0.2">
      <c r="A1238" s="264">
        <v>12</v>
      </c>
      <c r="B1238" s="263" t="s">
        <v>54</v>
      </c>
      <c r="C1238" s="290"/>
      <c r="D1238" s="265"/>
      <c r="E1238" s="291"/>
      <c r="F1238" s="292">
        <f>(F1218+F1220+F1222+F1224+F1242+F1226+F1244++F1249+F1251+F1253+F1257+F1228+F1255+F1246)*0.2045</f>
        <v>719069.07589999994</v>
      </c>
      <c r="G1238" s="292"/>
      <c r="H1238" s="293">
        <f>(F1218+F1220+F1222+F1224+F1226+F1242+F1244+F1249+F1251+F1253+F1257+F1228+F1255+F1246)*0.2045</f>
        <v>719069.07589999994</v>
      </c>
      <c r="I1238" s="265"/>
      <c r="J1238" s="323">
        <f>ROUND((SUM(F1218:F1228)*0.2045),0)</f>
        <v>79871</v>
      </c>
      <c r="K1238" s="324">
        <f>ROUND((SUM(F1242:F1255)*0.2045),0)</f>
        <v>509228</v>
      </c>
      <c r="L1238" s="325">
        <f>ROUND(F1257*0.2045,0)</f>
        <v>129970</v>
      </c>
    </row>
    <row r="1239" spans="1:12" x14ac:dyDescent="0.2">
      <c r="B1239" s="263"/>
      <c r="C1239" s="290"/>
      <c r="D1239" s="265"/>
      <c r="E1239" s="291"/>
      <c r="F1239" s="292"/>
      <c r="G1239" s="292"/>
      <c r="H1239" s="293"/>
      <c r="I1239" s="265"/>
      <c r="J1239" s="294"/>
      <c r="K1239" s="296"/>
      <c r="L1239" s="297"/>
    </row>
    <row r="1240" spans="1:12" x14ac:dyDescent="0.2">
      <c r="A1240" s="264">
        <v>13</v>
      </c>
      <c r="B1240" s="263" t="s">
        <v>55</v>
      </c>
      <c r="C1240" s="290">
        <v>2000</v>
      </c>
      <c r="D1240" s="265"/>
      <c r="E1240" s="291"/>
      <c r="F1240" s="292"/>
      <c r="G1240" s="292">
        <f>E1265*2000</f>
        <v>106000</v>
      </c>
      <c r="H1240" s="293">
        <f t="shared" ref="H1240" si="155">SUM(F1240+G1240)</f>
        <v>106000</v>
      </c>
      <c r="I1240" s="265"/>
      <c r="J1240" s="294">
        <f>(E1218+E1220+E1222+E1224+E1226+E1228)*2000</f>
        <v>14000</v>
      </c>
      <c r="K1240" s="296">
        <f>ROUND(SUM(E1244,E1249,E1251,E1253,E1255,E1246)*2000,0)</f>
        <v>72000</v>
      </c>
      <c r="L1240" s="297">
        <f>ROUND(E1257*2000,0)</f>
        <v>20000</v>
      </c>
    </row>
    <row r="1241" spans="1:12" x14ac:dyDescent="0.2">
      <c r="B1241" s="263"/>
      <c r="C1241" s="290"/>
      <c r="D1241" s="265"/>
      <c r="E1241" s="291"/>
      <c r="F1241" s="292"/>
      <c r="G1241" s="292"/>
      <c r="H1241" s="293"/>
      <c r="I1241" s="265"/>
      <c r="J1241" s="294"/>
      <c r="K1241" s="296"/>
      <c r="L1241" s="297"/>
    </row>
    <row r="1242" spans="1:12" ht="50.25" customHeight="1" x14ac:dyDescent="0.2">
      <c r="A1242" s="264">
        <v>14</v>
      </c>
      <c r="B1242" s="263" t="s">
        <v>114</v>
      </c>
      <c r="C1242" s="290"/>
      <c r="D1242" s="265"/>
      <c r="E1242" s="291"/>
      <c r="F1242" s="292">
        <f>(F1249+F1253+F1255+F1244+F1246+F1257+F1251)*0.1</f>
        <v>284151.2</v>
      </c>
      <c r="G1242" s="292"/>
      <c r="H1242" s="293">
        <f>SUM(F1242+G1242)</f>
        <v>284151.2</v>
      </c>
      <c r="I1242" s="265"/>
      <c r="J1242" s="294"/>
      <c r="K1242" s="296">
        <f>ROUND((+F1244+F1249+F1253+F1255+F1246+F1251)*0.1,0)</f>
        <v>220596</v>
      </c>
      <c r="L1242" s="297">
        <f>ROUND(F1257*0.1,0)</f>
        <v>63555</v>
      </c>
    </row>
    <row r="1243" spans="1:12" x14ac:dyDescent="0.2">
      <c r="B1243" s="263"/>
      <c r="C1243" s="290"/>
      <c r="D1243" s="265"/>
      <c r="E1243" s="291"/>
      <c r="F1243" s="292"/>
      <c r="G1243" s="292"/>
      <c r="H1243" s="293"/>
      <c r="I1243" s="265"/>
      <c r="J1243" s="294"/>
      <c r="K1243" s="292"/>
      <c r="L1243" s="293"/>
    </row>
    <row r="1244" spans="1:12" x14ac:dyDescent="0.2">
      <c r="A1244" s="264">
        <v>15</v>
      </c>
      <c r="B1244" s="263" t="s">
        <v>57</v>
      </c>
      <c r="C1244" s="290">
        <v>69911</v>
      </c>
      <c r="D1244" s="265"/>
      <c r="E1244" s="326">
        <f>ROUND((E1257+E1253+E1251+E1249+E1255+E1246)/6,0)</f>
        <v>7</v>
      </c>
      <c r="F1244" s="292">
        <f>F1210*E1244</f>
        <v>489377</v>
      </c>
      <c r="G1244" s="292"/>
      <c r="H1244" s="293">
        <f t="shared" ref="H1244" si="156">SUM(F1244+G1244)</f>
        <v>489377</v>
      </c>
      <c r="I1244" s="265"/>
      <c r="J1244" s="291"/>
      <c r="K1244" s="296">
        <f>ROUND(F1244*((+E$49+E$51+E$53)/(E$49+E$51+E$53+E$55)),0)</f>
        <v>308269</v>
      </c>
      <c r="L1244" s="297">
        <f>ROUND((+F1244*(E$55/(+E$49+E$51+E$53+E$55))),0)</f>
        <v>181108</v>
      </c>
    </row>
    <row r="1245" spans="1:12" x14ac:dyDescent="0.2">
      <c r="B1245" s="263"/>
      <c r="C1245" s="290"/>
      <c r="D1245" s="265"/>
      <c r="E1245" s="291"/>
      <c r="F1245" s="292"/>
      <c r="G1245" s="292"/>
      <c r="H1245" s="293"/>
      <c r="I1245" s="265"/>
      <c r="J1245" s="294"/>
      <c r="K1245" s="292"/>
      <c r="L1245" s="293"/>
    </row>
    <row r="1246" spans="1:12" x14ac:dyDescent="0.2">
      <c r="A1246" s="301">
        <v>16</v>
      </c>
      <c r="B1246" s="301" t="s">
        <v>160</v>
      </c>
      <c r="C1246" s="290">
        <v>42470</v>
      </c>
      <c r="D1246" s="265"/>
      <c r="E1246" s="326">
        <f>ROUNDUP((E1257+E1253+E1251+E1249+E1255)/6,0)</f>
        <v>6</v>
      </c>
      <c r="F1246" s="327">
        <f>F1211*E1246</f>
        <v>254820</v>
      </c>
      <c r="H1246" s="293">
        <f t="shared" ref="H1246" si="157">SUM(F1246+G1246)</f>
        <v>254820</v>
      </c>
      <c r="I1246" s="265"/>
      <c r="J1246" s="294"/>
      <c r="K1246" s="296">
        <f>ROUND(F1246*((+E$49+E$51+E$53)/(E$49+E$51+E$53+E$55)),0)</f>
        <v>160517</v>
      </c>
      <c r="L1246" s="297">
        <f>ROUND((+F1246*(E$55/(+E$49+E$51+E$53+E$55))),0)</f>
        <v>94303</v>
      </c>
    </row>
    <row r="1247" spans="1:12" x14ac:dyDescent="0.2">
      <c r="B1247" s="263"/>
      <c r="C1247" s="290"/>
      <c r="D1247" s="265"/>
      <c r="E1247" s="291"/>
      <c r="F1247" s="292"/>
      <c r="G1247" s="292"/>
      <c r="H1247" s="293"/>
      <c r="I1247" s="265"/>
      <c r="J1247" s="294"/>
      <c r="K1247" s="292"/>
      <c r="L1247" s="293"/>
    </row>
    <row r="1248" spans="1:12" ht="15.75" x14ac:dyDescent="0.25">
      <c r="A1248" s="282" t="s">
        <v>115</v>
      </c>
      <c r="B1248" s="263"/>
      <c r="C1248" s="290"/>
      <c r="D1248" s="265"/>
      <c r="E1248" s="291"/>
      <c r="F1248" s="292"/>
      <c r="G1248" s="292"/>
      <c r="H1248" s="293"/>
      <c r="I1248" s="265"/>
      <c r="J1248" s="294"/>
      <c r="K1248" s="292"/>
      <c r="L1248" s="293"/>
    </row>
    <row r="1249" spans="1:12" x14ac:dyDescent="0.2">
      <c r="A1249" s="300">
        <v>17</v>
      </c>
      <c r="B1249" s="301" t="s">
        <v>60</v>
      </c>
      <c r="C1249" s="302">
        <v>63555</v>
      </c>
      <c r="D1249" s="303"/>
      <c r="E1249" s="304">
        <f>ROUND(C1205/30,0)</f>
        <v>7</v>
      </c>
      <c r="F1249" s="305">
        <f>F1209*E1249</f>
        <v>444885</v>
      </c>
      <c r="G1249" s="305"/>
      <c r="H1249" s="293">
        <f t="shared" ref="H1249" si="158">SUM(F1249+G1249)</f>
        <v>444885</v>
      </c>
      <c r="I1249" s="303"/>
      <c r="J1249" s="306"/>
      <c r="K1249" s="292">
        <f>SUM(E1249*F1209)</f>
        <v>444885</v>
      </c>
      <c r="L1249" s="293"/>
    </row>
    <row r="1250" spans="1:12" x14ac:dyDescent="0.2">
      <c r="A1250" s="301"/>
      <c r="B1250" s="301"/>
      <c r="C1250" s="290"/>
      <c r="D1250" s="265"/>
      <c r="E1250" s="291"/>
      <c r="F1250" s="292"/>
      <c r="G1250" s="292"/>
      <c r="H1250" s="293"/>
      <c r="I1250" s="265"/>
      <c r="J1250" s="294"/>
      <c r="K1250" s="292"/>
      <c r="L1250" s="293"/>
    </row>
    <row r="1251" spans="1:12" ht="30" x14ac:dyDescent="0.2">
      <c r="A1251" s="300">
        <v>18</v>
      </c>
      <c r="B1251" s="301" t="s">
        <v>61</v>
      </c>
      <c r="C1251" s="290">
        <v>63555</v>
      </c>
      <c r="D1251" s="265"/>
      <c r="E1251" s="291">
        <f>1</f>
        <v>1</v>
      </c>
      <c r="F1251" s="292">
        <f>F1209*E1251</f>
        <v>63555</v>
      </c>
      <c r="G1251" s="292"/>
      <c r="H1251" s="293">
        <f t="shared" ref="H1251" si="159">SUM(F1251+G1251)</f>
        <v>63555</v>
      </c>
      <c r="I1251" s="265"/>
      <c r="J1251" s="294" t="s">
        <v>62</v>
      </c>
      <c r="K1251" s="292">
        <f>SUM(E1251*F1209)</f>
        <v>63555</v>
      </c>
      <c r="L1251" s="293"/>
    </row>
    <row r="1252" spans="1:12" x14ac:dyDescent="0.2">
      <c r="A1252" s="301"/>
      <c r="B1252" s="301"/>
      <c r="C1252" s="290"/>
      <c r="D1252" s="265"/>
      <c r="E1252" s="291"/>
      <c r="F1252" s="292"/>
      <c r="G1252" s="292"/>
      <c r="H1252" s="293"/>
      <c r="I1252" s="265"/>
      <c r="J1252" s="294"/>
      <c r="K1252" s="292"/>
      <c r="L1252" s="293"/>
    </row>
    <row r="1253" spans="1:12" x14ac:dyDescent="0.2">
      <c r="A1253" s="301">
        <v>19</v>
      </c>
      <c r="B1253" s="301" t="s">
        <v>63</v>
      </c>
      <c r="C1253" s="290">
        <v>63555</v>
      </c>
      <c r="D1253" s="265"/>
      <c r="E1253" s="291">
        <f>ROUND(C1205/20,0)</f>
        <v>10</v>
      </c>
      <c r="F1253" s="292">
        <f>F1209*E1253</f>
        <v>635550</v>
      </c>
      <c r="G1253" s="292"/>
      <c r="H1253" s="293">
        <f t="shared" ref="H1253" si="160">SUM(F1253+G1253)</f>
        <v>635550</v>
      </c>
      <c r="I1253" s="265"/>
      <c r="J1253" s="294"/>
      <c r="K1253" s="292">
        <f>SUM(E1253*F1209)</f>
        <v>635550</v>
      </c>
      <c r="L1253" s="293"/>
    </row>
    <row r="1254" spans="1:12" x14ac:dyDescent="0.2">
      <c r="A1254" s="301"/>
      <c r="B1254" s="301"/>
      <c r="C1254" s="290"/>
      <c r="D1254" s="265"/>
      <c r="E1254" s="291"/>
      <c r="F1254" s="292"/>
      <c r="G1254" s="292"/>
      <c r="H1254" s="293"/>
      <c r="I1254" s="265"/>
      <c r="J1254" s="294"/>
      <c r="K1254" s="292"/>
      <c r="L1254" s="293"/>
    </row>
    <row r="1255" spans="1:12" x14ac:dyDescent="0.2">
      <c r="A1255" s="301">
        <v>20</v>
      </c>
      <c r="B1255" s="301" t="s">
        <v>111</v>
      </c>
      <c r="C1255" s="290">
        <v>63555</v>
      </c>
      <c r="D1255" s="265"/>
      <c r="E1255" s="328">
        <f>ROUNDDOWN(C1206/40,0)</f>
        <v>5</v>
      </c>
      <c r="F1255" s="292">
        <f>F1209*E1255</f>
        <v>317775</v>
      </c>
      <c r="G1255" s="292"/>
      <c r="H1255" s="293">
        <f t="shared" ref="H1255" si="161">SUM(F1255+G1255)</f>
        <v>317775</v>
      </c>
      <c r="I1255" s="290"/>
      <c r="K1255" s="265">
        <f>SUM(E1255*F1209)</f>
        <v>317775</v>
      </c>
      <c r="L1255" s="329"/>
    </row>
    <row r="1256" spans="1:12" x14ac:dyDescent="0.2">
      <c r="A1256" s="301"/>
      <c r="B1256" s="301"/>
      <c r="C1256" s="290"/>
      <c r="D1256" s="265"/>
      <c r="E1256" s="291"/>
      <c r="F1256" s="292"/>
      <c r="G1256" s="292"/>
      <c r="H1256" s="293"/>
      <c r="I1256" s="290"/>
      <c r="L1256" s="329"/>
    </row>
    <row r="1257" spans="1:12" x14ac:dyDescent="0.2">
      <c r="A1257" s="301">
        <v>21</v>
      </c>
      <c r="B1257" s="301" t="s">
        <v>112</v>
      </c>
      <c r="C1257" s="290">
        <v>63555</v>
      </c>
      <c r="D1257" s="265"/>
      <c r="E1257" s="328">
        <f>ROUND(C1206/20,0)</f>
        <v>10</v>
      </c>
      <c r="F1257" s="292">
        <f>SUM(E1257*F1209)</f>
        <v>635550</v>
      </c>
      <c r="H1257" s="293">
        <f t="shared" ref="H1257" si="162">SUM(F1257+G1257)</f>
        <v>635550</v>
      </c>
      <c r="I1257" s="290"/>
      <c r="K1257" s="265"/>
      <c r="L1257" s="293">
        <f>SUM(H1257)</f>
        <v>635550</v>
      </c>
    </row>
    <row r="1258" spans="1:12" x14ac:dyDescent="0.2">
      <c r="A1258" s="301"/>
      <c r="B1258" s="301"/>
      <c r="C1258" s="290"/>
      <c r="D1258" s="265"/>
      <c r="E1258" s="291"/>
      <c r="F1258" s="292"/>
      <c r="H1258" s="293"/>
      <c r="I1258" s="290"/>
      <c r="L1258" s="329"/>
    </row>
    <row r="1259" spans="1:12" x14ac:dyDescent="0.2">
      <c r="A1259" s="301">
        <v>22</v>
      </c>
      <c r="B1259" s="301" t="s">
        <v>155</v>
      </c>
      <c r="C1259" s="295"/>
      <c r="D1259" s="307"/>
      <c r="E1259" s="291"/>
      <c r="F1259" s="292"/>
      <c r="G1259" s="292">
        <f>ROUND(175*C1204,0)</f>
        <v>547225</v>
      </c>
      <c r="H1259" s="293">
        <f t="shared" ref="H1259" si="163">SUM(F1259+G1259)</f>
        <v>547225</v>
      </c>
      <c r="I1259" s="265"/>
      <c r="J1259" s="294" t="s">
        <v>62</v>
      </c>
      <c r="K1259" s="292">
        <f>ROUND(175/2*C1204,0)</f>
        <v>273613</v>
      </c>
      <c r="L1259" s="293">
        <f>ROUND(175/2*C1204,0)</f>
        <v>273613</v>
      </c>
    </row>
    <row r="1260" spans="1:12" x14ac:dyDescent="0.2">
      <c r="A1260" s="301"/>
      <c r="B1260" s="301"/>
      <c r="C1260" s="290"/>
      <c r="D1260" s="265"/>
      <c r="E1260" s="291"/>
      <c r="F1260" s="292"/>
      <c r="G1260" s="292"/>
      <c r="H1260" s="293"/>
      <c r="I1260" s="265"/>
      <c r="J1260" s="294"/>
      <c r="K1260" s="292"/>
      <c r="L1260" s="293"/>
    </row>
    <row r="1261" spans="1:12" x14ac:dyDescent="0.2">
      <c r="A1261" s="301">
        <v>23</v>
      </c>
      <c r="B1261" s="301" t="s">
        <v>66</v>
      </c>
      <c r="C1261" s="290">
        <v>11500</v>
      </c>
      <c r="D1261" s="265"/>
      <c r="E1261" s="291"/>
      <c r="F1261" s="292"/>
      <c r="G1261" s="292">
        <f>(E1218+E1244+E1255+E1249+E1251+E1253+E1257+E1246)*11500</f>
        <v>540500</v>
      </c>
      <c r="H1261" s="293">
        <f>SUM(F1261:G1261)</f>
        <v>540500</v>
      </c>
      <c r="I1261" s="265"/>
      <c r="J1261" s="323">
        <f>ROUND(11500*E1218,0)</f>
        <v>11500</v>
      </c>
      <c r="K1261" s="296">
        <f>(ROUND(11500*(+E1253+E1251+E1249+E1255+E1244+E1246),0))</f>
        <v>414000</v>
      </c>
      <c r="L1261" s="297">
        <f>ROUND(11500*E1257,0)</f>
        <v>115000</v>
      </c>
    </row>
    <row r="1262" spans="1:12" x14ac:dyDescent="0.2">
      <c r="A1262" s="301"/>
      <c r="B1262" s="301"/>
      <c r="C1262" s="290"/>
      <c r="D1262" s="265"/>
      <c r="E1262" s="291"/>
      <c r="G1262" s="292"/>
      <c r="H1262" s="293"/>
      <c r="J1262" s="294"/>
      <c r="K1262" s="296"/>
      <c r="L1262" s="297"/>
    </row>
    <row r="1263" spans="1:12" x14ac:dyDescent="0.2">
      <c r="A1263" s="301">
        <v>24</v>
      </c>
      <c r="B1263" s="301" t="s">
        <v>82</v>
      </c>
      <c r="C1263" s="290"/>
      <c r="D1263" s="265"/>
      <c r="E1263" s="291"/>
      <c r="G1263" s="292">
        <v>74175</v>
      </c>
      <c r="H1263" s="293">
        <f t="shared" ref="H1263" si="164">SUM(F1263+G1263)</f>
        <v>74175</v>
      </c>
      <c r="I1263" s="330"/>
      <c r="J1263" s="292"/>
      <c r="K1263" s="296"/>
      <c r="L1263" s="297">
        <f>+H1263</f>
        <v>74175</v>
      </c>
    </row>
    <row r="1264" spans="1:12" ht="15.75" thickBot="1" x14ac:dyDescent="0.25">
      <c r="B1264" s="331"/>
      <c r="C1264" s="332"/>
      <c r="D1264" s="265"/>
      <c r="E1264" s="291"/>
      <c r="H1264" s="293"/>
      <c r="I1264" s="333"/>
      <c r="J1264" s="265"/>
      <c r="L1264" s="293"/>
    </row>
    <row r="1265" spans="1:12" ht="16.5" thickBot="1" x14ac:dyDescent="0.3">
      <c r="B1265" s="334" t="s">
        <v>67</v>
      </c>
      <c r="C1265" s="335"/>
      <c r="D1265" s="336"/>
      <c r="E1265" s="337">
        <f>SUM(E1215:E1264)</f>
        <v>53</v>
      </c>
      <c r="F1265" s="336">
        <f>SUM(F1215:F1263)</f>
        <v>4235299.2758999998</v>
      </c>
      <c r="G1265" s="336">
        <f>SUM(G1216:G1263)</f>
        <v>2048395</v>
      </c>
      <c r="H1265" s="338">
        <f>SUM(H1216:H1264)</f>
        <v>6283694.2759000007</v>
      </c>
      <c r="I1265" s="336"/>
      <c r="J1265" s="339">
        <f>SUM(J1216:J1263)</f>
        <v>629812</v>
      </c>
      <c r="K1265" s="336">
        <f>SUM(K1216:K1264)</f>
        <v>3901365</v>
      </c>
      <c r="L1265" s="340">
        <f>SUM(L1215:L1264)</f>
        <v>1752518</v>
      </c>
    </row>
    <row r="1270" spans="1:12" x14ac:dyDescent="0.2">
      <c r="A1270" s="262"/>
      <c r="B1270" s="263"/>
    </row>
    <row r="1271" spans="1:12" ht="15.75" x14ac:dyDescent="0.25">
      <c r="A1271" s="266" t="s">
        <v>24</v>
      </c>
      <c r="B1271" s="267"/>
      <c r="C1271" s="320" t="s">
        <v>103</v>
      </c>
    </row>
    <row r="1272" spans="1:12" x14ac:dyDescent="0.2">
      <c r="B1272" s="263"/>
      <c r="C1272" s="269"/>
      <c r="D1272" s="269"/>
    </row>
    <row r="1273" spans="1:12" ht="15.75" x14ac:dyDescent="0.25">
      <c r="A1273" s="264" t="s">
        <v>27</v>
      </c>
      <c r="B1273" s="263"/>
      <c r="C1273" s="270">
        <f>SUM(C76+C148+C219+C293+C362+C432+C501+C571+C641+C712+C782+C852+C923+C994+C1065+C1135+C1204)</f>
        <v>28082</v>
      </c>
      <c r="D1273" s="270" t="s">
        <v>79</v>
      </c>
      <c r="E1273" s="271"/>
    </row>
    <row r="1274" spans="1:12" ht="15.75" x14ac:dyDescent="0.25">
      <c r="A1274" s="264" t="s">
        <v>28</v>
      </c>
      <c r="B1274" s="263"/>
      <c r="C1274" s="270">
        <f>SUM(C77+C149+C220+C294+C363+C433+C502+C572+C642+C713+C783+C853+C924+C995+C1066+C1136+C1205)</f>
        <v>1695.2999999999997</v>
      </c>
      <c r="D1274" s="268"/>
      <c r="E1274" s="271"/>
    </row>
    <row r="1275" spans="1:12" ht="15.75" x14ac:dyDescent="0.25">
      <c r="A1275" s="264" t="s">
        <v>29</v>
      </c>
      <c r="B1275" s="263"/>
      <c r="C1275" s="270">
        <f>SUM(C78+C150+C221+C295+C364+C434+C503+C573+C643+C714+C784+C854+C925+C996+C1067+C1137+C1206)</f>
        <v>1872.1333333333334</v>
      </c>
      <c r="D1275" s="270"/>
      <c r="E1275" s="271"/>
    </row>
    <row r="1276" spans="1:12" ht="15.75" x14ac:dyDescent="0.25">
      <c r="B1276" s="263" t="s">
        <v>30</v>
      </c>
      <c r="C1276" s="270">
        <v>66</v>
      </c>
      <c r="D1276" s="268"/>
      <c r="E1276" s="271"/>
    </row>
    <row r="1277" spans="1:12" x14ac:dyDescent="0.2">
      <c r="B1277" s="263"/>
    </row>
    <row r="1278" spans="1:12" x14ac:dyDescent="0.2">
      <c r="A1278" s="271" t="s">
        <v>116</v>
      </c>
      <c r="B1278" s="272"/>
      <c r="D1278" s="273"/>
      <c r="F1278" s="273">
        <v>63555</v>
      </c>
      <c r="I1278" s="265"/>
    </row>
    <row r="1279" spans="1:12" x14ac:dyDescent="0.2">
      <c r="A1279" s="271" t="s">
        <v>117</v>
      </c>
      <c r="B1279" s="272"/>
      <c r="D1279" s="273"/>
      <c r="F1279" s="273">
        <v>69911</v>
      </c>
      <c r="I1279" s="265"/>
    </row>
    <row r="1280" spans="1:12" x14ac:dyDescent="0.2">
      <c r="A1280" s="271" t="s">
        <v>118</v>
      </c>
      <c r="B1280" s="272"/>
      <c r="D1280" s="273"/>
      <c r="F1280" s="273">
        <v>42470</v>
      </c>
      <c r="I1280" s="265"/>
    </row>
    <row r="1281" spans="1:12" ht="15.75" thickBot="1" x14ac:dyDescent="0.25">
      <c r="A1281" s="271"/>
      <c r="B1281" s="272"/>
      <c r="C1281" s="274"/>
      <c r="D1281" s="274"/>
      <c r="I1281" s="265"/>
    </row>
    <row r="1282" spans="1:12" ht="16.5" thickBot="1" x14ac:dyDescent="0.3">
      <c r="B1282" s="263"/>
      <c r="J1282" s="376" t="s">
        <v>34</v>
      </c>
      <c r="K1282" s="417" t="s">
        <v>35</v>
      </c>
      <c r="L1282" s="418"/>
    </row>
    <row r="1283" spans="1:12" ht="15.75" x14ac:dyDescent="0.25">
      <c r="A1283" s="266" t="s">
        <v>36</v>
      </c>
      <c r="B1283" s="276"/>
      <c r="C1283" s="402" t="s">
        <v>80</v>
      </c>
      <c r="D1283" s="278"/>
      <c r="E1283" s="376" t="s">
        <v>38</v>
      </c>
      <c r="F1283" s="390" t="s">
        <v>39</v>
      </c>
      <c r="G1283" s="390" t="s">
        <v>40</v>
      </c>
      <c r="H1283" s="391" t="s">
        <v>0</v>
      </c>
      <c r="I1283" s="280"/>
      <c r="J1283" s="377" t="s">
        <v>41</v>
      </c>
      <c r="K1283" s="281" t="s">
        <v>42</v>
      </c>
      <c r="L1283" s="378" t="s">
        <v>43</v>
      </c>
    </row>
    <row r="1284" spans="1:12" ht="15.75" x14ac:dyDescent="0.25">
      <c r="A1284" s="282"/>
      <c r="B1284" s="276"/>
      <c r="C1284" s="403"/>
      <c r="D1284" s="278"/>
      <c r="E1284" s="392"/>
      <c r="F1284" s="285"/>
      <c r="G1284" s="285"/>
      <c r="H1284" s="393"/>
      <c r="I1284" s="280"/>
      <c r="J1284" s="379"/>
      <c r="K1284" s="288"/>
      <c r="L1284" s="380"/>
    </row>
    <row r="1285" spans="1:12" x14ac:dyDescent="0.2">
      <c r="A1285" s="264">
        <v>1</v>
      </c>
      <c r="B1285" s="263" t="s">
        <v>44</v>
      </c>
      <c r="C1285" s="399">
        <v>50000</v>
      </c>
      <c r="D1285" s="265"/>
      <c r="E1285" s="386"/>
      <c r="F1285" s="292"/>
      <c r="G1285" s="396">
        <f>SUM(G1216,G1147,G1077,G1006,G935,G864,G794,G723,G653,G583,G513,G444,G374,G305,G231,G160,G88)</f>
        <v>850000</v>
      </c>
      <c r="H1285" s="401">
        <f>SUM(H1216,H1147,H1077,H1006,H935,H864,H794,H723,H653,H583,H513,H444,H374,H305,H231,H160,H88)</f>
        <v>850000</v>
      </c>
      <c r="I1285" s="265"/>
      <c r="J1285" s="397">
        <f>SUM(J1216,J1147,J1077,J1006,J935,J864,J794,J723,J653,J583,J513,J444,J374,J305,J231,J160,J88)</f>
        <v>850000</v>
      </c>
      <c r="K1285" s="292"/>
      <c r="L1285" s="382"/>
    </row>
    <row r="1286" spans="1:12" x14ac:dyDescent="0.2">
      <c r="B1286" s="263"/>
      <c r="C1286" s="399"/>
      <c r="D1286" s="265"/>
      <c r="E1286" s="386"/>
      <c r="F1286" s="292"/>
      <c r="G1286" s="292"/>
      <c r="H1286" s="382"/>
      <c r="I1286" s="265"/>
      <c r="J1286" s="383"/>
      <c r="K1286" s="292"/>
      <c r="L1286" s="382"/>
    </row>
    <row r="1287" spans="1:12" x14ac:dyDescent="0.2">
      <c r="A1287" s="264">
        <v>2</v>
      </c>
      <c r="B1287" s="263" t="s">
        <v>45</v>
      </c>
      <c r="C1287" s="399">
        <v>89606</v>
      </c>
      <c r="D1287" s="265"/>
      <c r="E1287" s="397">
        <f>SUM(E1218,E1149,E1079,E1008,E937,E866,E796,E725,E655,E585,E515,E446,E376,E307,E233,E162,E90)</f>
        <v>17</v>
      </c>
      <c r="F1287" s="396">
        <f>SUM(F1218,F1149,F1079,F1008,F937,F866,F796,F725,F655,F585,F515,F446,F376,F307,F233,F162,F90)</f>
        <v>1523302</v>
      </c>
      <c r="G1287" s="292"/>
      <c r="H1287" s="401">
        <f>SUM(H1218,H1149,H1079,H1008,H937,H866,H796,H725,H655,H585,H515,H446,H376,H307,H233,H162,H90)</f>
        <v>1523302</v>
      </c>
      <c r="I1287" s="265"/>
      <c r="J1287" s="383">
        <f>+H1287</f>
        <v>1523302</v>
      </c>
      <c r="K1287" s="292"/>
      <c r="L1287" s="382"/>
    </row>
    <row r="1288" spans="1:12" x14ac:dyDescent="0.2">
      <c r="B1288" s="263"/>
      <c r="C1288" s="399"/>
      <c r="D1288" s="265"/>
      <c r="E1288" s="386"/>
      <c r="F1288" s="292"/>
      <c r="G1288" s="292"/>
      <c r="H1288" s="382"/>
      <c r="I1288" s="265"/>
      <c r="J1288" s="383"/>
      <c r="K1288" s="292"/>
      <c r="L1288" s="382"/>
    </row>
    <row r="1289" spans="1:12" x14ac:dyDescent="0.2">
      <c r="A1289" s="264">
        <v>3</v>
      </c>
      <c r="B1289" s="301" t="s">
        <v>176</v>
      </c>
      <c r="C1289" s="399">
        <v>69911</v>
      </c>
      <c r="D1289" s="265"/>
      <c r="E1289" s="397">
        <f>SUM(E1220,E1151,E1081,E1010,E939,E868,E798,E727,E657,E587,E517,E448,E378,E309,E235,E164,E92)</f>
        <v>17</v>
      </c>
      <c r="F1289" s="396">
        <f>SUM(F1220,F1151,F1081,F1010,F939,F868,F798,F727,F657,F587,F517,F448,F378,F309,F235,F164,F92)</f>
        <v>1188487</v>
      </c>
      <c r="G1289" s="292"/>
      <c r="H1289" s="401">
        <f>SUM(H1220,H1151,H1081,H1010,H939,H868,H798,H727,H657,H587,H517,H448,H378,H309,H235,H164,H92)</f>
        <v>1188487</v>
      </c>
      <c r="I1289" s="265"/>
      <c r="J1289" s="383"/>
      <c r="K1289" s="292"/>
      <c r="L1289" s="382">
        <f>H1289</f>
        <v>1188487</v>
      </c>
    </row>
    <row r="1290" spans="1:12" x14ac:dyDescent="0.2">
      <c r="B1290" s="263"/>
      <c r="C1290" s="399"/>
      <c r="D1290" s="265"/>
      <c r="E1290" s="386"/>
      <c r="F1290" s="292"/>
      <c r="G1290" s="292"/>
      <c r="H1290" s="382"/>
      <c r="I1290" s="265"/>
      <c r="J1290" s="383"/>
      <c r="K1290" s="292"/>
      <c r="L1290" s="382"/>
    </row>
    <row r="1291" spans="1:12" x14ac:dyDescent="0.2">
      <c r="A1291" s="264">
        <v>4</v>
      </c>
      <c r="B1291" s="263" t="s">
        <v>46</v>
      </c>
      <c r="C1291" s="399">
        <v>45865</v>
      </c>
      <c r="D1291" s="265"/>
      <c r="E1291" s="397">
        <f>SUM(E1222,E1153,E1083,E1012,E941,E870,E800,E729,E659,E589,E519,E450,E380,E311,E237,E166,E94)</f>
        <v>17</v>
      </c>
      <c r="F1291" s="396">
        <f>SUM(F1222,F1153,F1083,F1012,F941,F870,F800,F729,F659,F589,F519,F450,F380,F311,F237,F166,F94)</f>
        <v>779705</v>
      </c>
      <c r="G1291" s="292"/>
      <c r="H1291" s="401">
        <f>SUM(H1222,H1153,H1083,H1012,H941,H870,H800,H729,H659,H589,H519,H450,H380,H311,H237,H166,H94)</f>
        <v>779705</v>
      </c>
      <c r="I1291" s="265"/>
      <c r="J1291" s="383">
        <f>+H1291</f>
        <v>779705</v>
      </c>
      <c r="K1291" s="292"/>
      <c r="L1291" s="382"/>
    </row>
    <row r="1292" spans="1:12" x14ac:dyDescent="0.2">
      <c r="B1292" s="263"/>
      <c r="C1292" s="399"/>
      <c r="D1292" s="265"/>
      <c r="E1292" s="386"/>
      <c r="F1292" s="292"/>
      <c r="G1292" s="292"/>
      <c r="H1292" s="382"/>
      <c r="I1292" s="265"/>
      <c r="J1292" s="383"/>
      <c r="K1292" s="292"/>
      <c r="L1292" s="382"/>
    </row>
    <row r="1293" spans="1:12" x14ac:dyDescent="0.2">
      <c r="A1293" s="264">
        <v>5</v>
      </c>
      <c r="B1293" s="263" t="s">
        <v>47</v>
      </c>
      <c r="C1293" s="399">
        <v>42470</v>
      </c>
      <c r="D1293" s="265"/>
      <c r="E1293" s="397">
        <f>SUM(E1224,E1155,E1085,E1014,E943,E872,E802,E731,E661,E591,E521,E452,E382,E313,E239,E168,E96)</f>
        <v>17</v>
      </c>
      <c r="F1293" s="396">
        <f>SUM(F1224,F1155,F1085,F1014,F943,F872,F802,F731,F661,F591,F521,F452,F382,F313,F239,F168,F96)</f>
        <v>721990</v>
      </c>
      <c r="G1293" s="292"/>
      <c r="H1293" s="401">
        <f>SUM(H1224,H1155,H1085,H1014,H943,H872,H802,H731,H661,H591,H521,H452,H382,H313,H239,H168,H96)</f>
        <v>721990</v>
      </c>
      <c r="I1293" s="265"/>
      <c r="J1293" s="383">
        <f>+H1293</f>
        <v>721990</v>
      </c>
      <c r="K1293" s="292"/>
      <c r="L1293" s="382"/>
    </row>
    <row r="1294" spans="1:12" x14ac:dyDescent="0.2">
      <c r="B1294" s="263"/>
      <c r="C1294" s="399"/>
      <c r="D1294" s="265"/>
      <c r="E1294" s="386"/>
      <c r="F1294" s="292"/>
      <c r="G1294" s="292"/>
      <c r="H1294" s="382"/>
      <c r="I1294" s="265"/>
      <c r="J1294" s="383"/>
      <c r="K1294" s="292"/>
      <c r="L1294" s="382"/>
    </row>
    <row r="1295" spans="1:12" x14ac:dyDescent="0.2">
      <c r="A1295" s="264">
        <v>6</v>
      </c>
      <c r="B1295" s="263" t="s">
        <v>113</v>
      </c>
      <c r="C1295" s="399">
        <v>57775</v>
      </c>
      <c r="E1295" s="397">
        <f>SUM(E1226,E1157,E1087,E1016,E945,E874,E804,E733,E663,E593,E523,E454,E384,E315,E241,E170,E98)</f>
        <v>17</v>
      </c>
      <c r="F1295" s="396">
        <f>SUM(F1226,F1157,F1087,F1016,F945,F874,F804,F733,F663,F593,F523,F454,F384,F315,F241,F170,F98)</f>
        <v>982175</v>
      </c>
      <c r="G1295" s="292"/>
      <c r="H1295" s="401">
        <f>SUM(H1226,H1157,H1087,H1016,H945,H874,H804,H733,H663,H593,H523,H454,H384,H315,H241,H170,H98)</f>
        <v>982175</v>
      </c>
      <c r="I1295" s="265"/>
      <c r="J1295" s="383">
        <f>+H1295</f>
        <v>982175</v>
      </c>
      <c r="K1295" s="292"/>
      <c r="L1295" s="382"/>
    </row>
    <row r="1296" spans="1:12" x14ac:dyDescent="0.2">
      <c r="B1296" s="263"/>
      <c r="C1296" s="399"/>
      <c r="D1296" s="265"/>
      <c r="E1296" s="386"/>
      <c r="F1296" s="292"/>
      <c r="G1296" s="292"/>
      <c r="H1296" s="382"/>
      <c r="I1296" s="265"/>
      <c r="J1296" s="383"/>
      <c r="K1296" s="292"/>
      <c r="L1296" s="382"/>
    </row>
    <row r="1297" spans="1:14" x14ac:dyDescent="0.2">
      <c r="A1297" s="264">
        <v>7</v>
      </c>
      <c r="B1297" s="263" t="s">
        <v>151</v>
      </c>
      <c r="C1297" s="404">
        <v>42470</v>
      </c>
      <c r="D1297" s="265"/>
      <c r="E1297" s="397">
        <f>SUM(E1228,E1159,E1089,E1018,E947,E876,E806,E735,E665,E595,E525,E456,E386,E317,E243,E172,E100)</f>
        <v>12</v>
      </c>
      <c r="F1297" s="396">
        <f>SUM(F1228,F1159,F1089,F1018,F947,F876,F806,F735,F665,F595,F525,F456,F386,F317,F243,F172,F100)</f>
        <v>509640</v>
      </c>
      <c r="G1297" s="292"/>
      <c r="H1297" s="401">
        <f>SUM(H1228,H1159,H1089,H1018,H947,H876,H806,H735,H665,H595,H525,H456,H386,H317,H243,H172,H100)</f>
        <v>509640</v>
      </c>
      <c r="I1297" s="265"/>
      <c r="J1297" s="381">
        <f>SUM(H1297+I1297)</f>
        <v>509640</v>
      </c>
      <c r="K1297" s="296"/>
      <c r="L1297" s="384"/>
    </row>
    <row r="1298" spans="1:14" x14ac:dyDescent="0.2">
      <c r="A1298" s="264" t="s">
        <v>79</v>
      </c>
      <c r="B1298" s="263" t="s">
        <v>199</v>
      </c>
      <c r="C1298" s="399">
        <v>10200</v>
      </c>
      <c r="D1298" s="265"/>
      <c r="E1298" s="394"/>
      <c r="F1298" s="292"/>
      <c r="G1298" s="396">
        <f>SUM(G1229,G1160,G1090,G1019,G948,G877,G807,G736,G666,G596,G526,G457,G387,G318,G245,G174,G102)</f>
        <v>173400</v>
      </c>
      <c r="H1298" s="401">
        <f>SUM(H1229,H1160,H1090,H1019,H948,H877,H807,H736,H666,H596,H526,H457,H387,H318,H245,H174,H102)</f>
        <v>173400</v>
      </c>
      <c r="I1298" s="265"/>
      <c r="J1298" s="397">
        <f>SUM(J1229,J1160,J1090,J1019,J948,J877,J807,J736,J666,J596,J526,J457,J387,J318,J245,J174,J102)</f>
        <v>173400</v>
      </c>
      <c r="K1298" s="292"/>
      <c r="L1298" s="382"/>
      <c r="N1298" s="265"/>
    </row>
    <row r="1299" spans="1:14" x14ac:dyDescent="0.2">
      <c r="A1299" s="264">
        <v>8</v>
      </c>
      <c r="B1299" s="263" t="s">
        <v>50</v>
      </c>
      <c r="C1299" s="399">
        <v>15000</v>
      </c>
      <c r="D1299" s="265"/>
      <c r="E1299" s="386"/>
      <c r="F1299" s="292"/>
      <c r="G1299" s="396">
        <f>SUM(G1230,G1161,G1091,G1020,G949,G878,G808,G737,G667,G597,G527,G458,G388,G319,G247,G176,G104)</f>
        <v>255000</v>
      </c>
      <c r="H1299" s="401">
        <f>SUM(H1230,H1161,H1091,H1020,H949,H878,H808,H737,H667,H597,H527,H458,H388,H319,H247,H176,H104)</f>
        <v>255000</v>
      </c>
      <c r="I1299" s="265"/>
      <c r="J1299" s="397">
        <f>SUM(J1230,J1161,J1091,J1020,J949,J878,J808,J737,J667,J597,J527,J458,J388,J319,J247,J176,J104)</f>
        <v>255000</v>
      </c>
      <c r="K1299" s="292"/>
      <c r="L1299" s="382"/>
      <c r="N1299" s="265"/>
    </row>
    <row r="1300" spans="1:14" x14ac:dyDescent="0.2">
      <c r="B1300" s="263"/>
      <c r="C1300" s="399"/>
      <c r="D1300" s="265"/>
      <c r="E1300" s="386"/>
      <c r="F1300" s="292"/>
      <c r="G1300" s="292"/>
      <c r="H1300" s="382"/>
      <c r="I1300" s="265"/>
      <c r="J1300" s="385"/>
      <c r="K1300" s="292"/>
      <c r="L1300" s="382"/>
      <c r="N1300" s="265"/>
    </row>
    <row r="1301" spans="1:14" x14ac:dyDescent="0.2">
      <c r="A1301" s="264">
        <v>9</v>
      </c>
      <c r="B1301" s="263" t="s">
        <v>51</v>
      </c>
      <c r="C1301" s="399">
        <v>30000</v>
      </c>
      <c r="D1301" s="265"/>
      <c r="E1301" s="386"/>
      <c r="F1301" s="292"/>
      <c r="G1301" s="396">
        <f>SUM(G1232,G1163,G1093,G1022,G951,G880,G810,G739,G669,G599,G529,G460,G390,G321,G249,G178,G106)</f>
        <v>510000</v>
      </c>
      <c r="H1301" s="382">
        <f>SUM(F1301+G1301)</f>
        <v>510000</v>
      </c>
      <c r="I1301" s="265"/>
      <c r="J1301" s="399">
        <f>SUM(H1301+I1301)</f>
        <v>510000</v>
      </c>
      <c r="K1301" s="292"/>
      <c r="L1301" s="382"/>
      <c r="N1301" s="265"/>
    </row>
    <row r="1302" spans="1:14" x14ac:dyDescent="0.2">
      <c r="B1302" s="263"/>
      <c r="C1302" s="399"/>
      <c r="D1302" s="265"/>
      <c r="E1302" s="386"/>
      <c r="F1302" s="292"/>
      <c r="G1302" s="292"/>
      <c r="H1302" s="382"/>
      <c r="I1302" s="265"/>
      <c r="J1302" s="385"/>
      <c r="K1302" s="292"/>
      <c r="L1302" s="382"/>
    </row>
    <row r="1303" spans="1:14" x14ac:dyDescent="0.2">
      <c r="A1303" s="264">
        <v>10</v>
      </c>
      <c r="B1303" s="263" t="s">
        <v>52</v>
      </c>
      <c r="C1303" s="399">
        <v>40000</v>
      </c>
      <c r="D1303" s="265"/>
      <c r="E1303" s="386"/>
      <c r="F1303" s="292"/>
      <c r="G1303" s="396">
        <f>SUM(G1234,G1165,G1095,G1024,G953,G882,G812,G741,G671,G601,G531,G462,G392,G323,G251,G180,G108)</f>
        <v>680000</v>
      </c>
      <c r="H1303" s="382">
        <f>SUM(F1303+G1303)</f>
        <v>680000</v>
      </c>
      <c r="I1303" s="265"/>
      <c r="J1303" s="397">
        <f>SUM(J1234,J1165,J1095,J1024,J953,J882,J812,J741,J671,J601,J531,J462,J392,J323,J251,J180,J108)</f>
        <v>680000</v>
      </c>
      <c r="K1303" s="292"/>
      <c r="L1303" s="382"/>
      <c r="N1303" s="265"/>
    </row>
    <row r="1304" spans="1:14" x14ac:dyDescent="0.2">
      <c r="B1304" s="263"/>
      <c r="C1304" s="399"/>
      <c r="D1304" s="265"/>
      <c r="E1304" s="386"/>
      <c r="F1304" s="292"/>
      <c r="G1304" s="292"/>
      <c r="H1304" s="382"/>
      <c r="I1304" s="265"/>
      <c r="J1304" s="383"/>
      <c r="K1304" s="292"/>
      <c r="L1304" s="382"/>
    </row>
    <row r="1305" spans="1:14" x14ac:dyDescent="0.2">
      <c r="A1305" s="264">
        <v>11</v>
      </c>
      <c r="B1305" s="263" t="s">
        <v>53</v>
      </c>
      <c r="C1305" s="399"/>
      <c r="D1305" s="265"/>
      <c r="E1305" s="386"/>
      <c r="F1305" s="292"/>
      <c r="G1305" s="396">
        <f>SUM(G1236,G1167,G1097,G1026,G955,G884,G814,G743,G673,G603,G533,G464,G394,G325,G253,G182,G110)</f>
        <v>6021100</v>
      </c>
      <c r="H1305" s="382">
        <f>SUM(G1305)</f>
        <v>6021100</v>
      </c>
      <c r="I1305" s="265"/>
      <c r="J1305" s="385">
        <f>ROUND((SUM(F1287:F1297)*0.15),0)</f>
        <v>855795</v>
      </c>
      <c r="K1305" s="324">
        <f>ROUND(SUM(F1307:F1322,F1324)*0.15,0)</f>
        <v>4288247</v>
      </c>
      <c r="L1305" s="400">
        <f>ROUND(F1326*0.15,0)</f>
        <v>877059</v>
      </c>
    </row>
    <row r="1306" spans="1:14" x14ac:dyDescent="0.2">
      <c r="B1306" s="263"/>
      <c r="C1306" s="399"/>
      <c r="D1306" s="265"/>
      <c r="E1306" s="386"/>
      <c r="F1306" s="292"/>
      <c r="G1306" s="292"/>
      <c r="H1306" s="382"/>
      <c r="I1306" s="265"/>
      <c r="J1306" s="383"/>
      <c r="K1306" s="296"/>
      <c r="L1306" s="384"/>
    </row>
    <row r="1307" spans="1:14" x14ac:dyDescent="0.2">
      <c r="A1307" s="264">
        <v>12</v>
      </c>
      <c r="B1307" s="263" t="s">
        <v>54</v>
      </c>
      <c r="C1307" s="399"/>
      <c r="D1307" s="265"/>
      <c r="E1307" s="386"/>
      <c r="F1307" s="396">
        <f>SUM(F1238,F1169,F1099,F1028,F957,F886,F816,F745,F675,F605,F535,F466,F396,F327,F255,F184,F112)</f>
        <v>6815083.0527499989</v>
      </c>
      <c r="G1307" s="292"/>
      <c r="H1307" s="401">
        <f>SUM(H1238,H1169,H1099,H1028,H957,H886,H816,H745,H675,H605,H535,H466,H396,H327,H255,H184,H112)</f>
        <v>6815083.0527499989</v>
      </c>
      <c r="I1307" s="265"/>
      <c r="J1307" s="385">
        <f>ROUND((SUM(F1287:F1297)*0.2045),0)</f>
        <v>1166734</v>
      </c>
      <c r="K1307" s="324">
        <f>ROUND((SUM(F1311:F1324)*0.2045),0)</f>
        <v>4452626</v>
      </c>
      <c r="L1307" s="400">
        <f>ROUND(F1326*0.2045,0)</f>
        <v>1195724</v>
      </c>
    </row>
    <row r="1308" spans="1:14" x14ac:dyDescent="0.2">
      <c r="B1308" s="263"/>
      <c r="C1308" s="399"/>
      <c r="D1308" s="265"/>
      <c r="E1308" s="386"/>
      <c r="F1308" s="292"/>
      <c r="G1308" s="292"/>
      <c r="H1308" s="382"/>
      <c r="I1308" s="265"/>
      <c r="J1308" s="383"/>
      <c r="K1308" s="296"/>
      <c r="L1308" s="384"/>
    </row>
    <row r="1309" spans="1:14" x14ac:dyDescent="0.2">
      <c r="A1309" s="264">
        <v>13</v>
      </c>
      <c r="B1309" s="263" t="s">
        <v>55</v>
      </c>
      <c r="C1309" s="399">
        <v>2000</v>
      </c>
      <c r="D1309" s="265"/>
      <c r="E1309" s="386"/>
      <c r="F1309" s="292"/>
      <c r="G1309" s="396">
        <f>SUM(G1240,G1171,G1101,G1030,G959,G888,G818,G747,G677,G607,G537,G468,G398,G329,G257,G186,G114)</f>
        <v>1006000</v>
      </c>
      <c r="H1309" s="401">
        <f>SUM(H1240,H1171,H1101,H1030,H959,H888,H818,H747,H677,H607,H537,H468,H398,H329,H257,H186,H114)</f>
        <v>1006000</v>
      </c>
      <c r="I1309" s="265"/>
      <c r="J1309" s="383">
        <f>(E1287+E1289+E1291+E1293+E1295+E1297)*2000</f>
        <v>194000</v>
      </c>
      <c r="K1309" s="296">
        <f>ROUND(SUM(E1313,E1318,E1320,E1322,E1324,E1315)*2000,0)</f>
        <v>628000</v>
      </c>
      <c r="L1309" s="384">
        <f>ROUND(E1326*2000,0)</f>
        <v>184000</v>
      </c>
    </row>
    <row r="1310" spans="1:14" x14ac:dyDescent="0.2">
      <c r="B1310" s="263"/>
      <c r="C1310" s="399"/>
      <c r="D1310" s="265"/>
      <c r="E1310" s="386"/>
      <c r="F1310" s="292"/>
      <c r="G1310" s="292"/>
      <c r="H1310" s="382"/>
      <c r="I1310" s="265"/>
      <c r="J1310" s="383"/>
      <c r="K1310" s="296"/>
      <c r="L1310" s="384"/>
    </row>
    <row r="1311" spans="1:14" ht="55.5" customHeight="1" x14ac:dyDescent="0.2">
      <c r="A1311" s="264">
        <v>14</v>
      </c>
      <c r="B1311" s="263" t="s">
        <v>114</v>
      </c>
      <c r="C1311" s="399"/>
      <c r="D1311" s="265"/>
      <c r="E1311" s="386"/>
      <c r="F1311" s="396">
        <f>SUM(F1242,F1173,F1103,F1032,F961,F890,F820,F749,F679,F609,F539,F470,F400,F331,F259,F188,F116)</f>
        <v>2510935.5000000005</v>
      </c>
      <c r="G1311" s="292"/>
      <c r="H1311" s="401">
        <f>SUM(H1242,H1173,H1103,H1032,H961,H890,H820,H749,H679,H609,H539,H470,H400,H331,H259,H188,H116)</f>
        <v>2510935.5000000005</v>
      </c>
      <c r="I1311" s="265"/>
      <c r="J1311" s="383"/>
      <c r="K1311" s="296">
        <f>ROUND((+F1313+F1318+F1322+F1324+F1315+F1320)*0.1,0)</f>
        <v>1926230</v>
      </c>
      <c r="L1311" s="384">
        <f>ROUND(F1326*0.1,0)</f>
        <v>584706</v>
      </c>
    </row>
    <row r="1312" spans="1:14" x14ac:dyDescent="0.2">
      <c r="B1312" s="263"/>
      <c r="C1312" s="399"/>
      <c r="D1312" s="265"/>
      <c r="E1312" s="386"/>
      <c r="F1312" s="292"/>
      <c r="G1312" s="292"/>
      <c r="H1312" s="382"/>
      <c r="I1312" s="265"/>
      <c r="J1312" s="383"/>
      <c r="K1312" s="292"/>
      <c r="L1312" s="382"/>
    </row>
    <row r="1313" spans="1:15" x14ac:dyDescent="0.2">
      <c r="A1313" s="264">
        <v>15</v>
      </c>
      <c r="B1313" s="263" t="s">
        <v>57</v>
      </c>
      <c r="C1313" s="399">
        <v>69911</v>
      </c>
      <c r="D1313" s="265"/>
      <c r="E1313" s="397">
        <f>SUM(E1244,E1175,E1105,E1034,E963,E892,E822,E751,E681,E611,E541,E472,E402,E333,E261,E190,E118)</f>
        <v>61</v>
      </c>
      <c r="F1313" s="396">
        <f>SUM(F1244,F1175,F1105,F1034,F963,F892,F822,F751,F681,F611,F541,F472,F402,F333,F261,F190,F118)</f>
        <v>4226435</v>
      </c>
      <c r="G1313" s="292"/>
      <c r="H1313" s="401">
        <f>SUM(H1244,H1175,H1105,H1034,H963,H892,H822,H751,H681,H611,H541,H472,H402,H333,H261,H190,H118)</f>
        <v>4226435</v>
      </c>
      <c r="I1313" s="265"/>
      <c r="J1313" s="386"/>
      <c r="K1313" s="296">
        <f>ROUND(F1313*((+E$49+E$51+E$53)/(E$49+E$51+E$53+E$55)),0)</f>
        <v>2662321</v>
      </c>
      <c r="L1313" s="384">
        <f>ROUND((+F1313*(E$55/(+E$49+E$51+E$53+E$55))),0)</f>
        <v>1564114</v>
      </c>
    </row>
    <row r="1314" spans="1:15" x14ac:dyDescent="0.2">
      <c r="B1314" s="263"/>
      <c r="C1314" s="399"/>
      <c r="D1314" s="265"/>
      <c r="E1314" s="386"/>
      <c r="F1314" s="292"/>
      <c r="G1314" s="292"/>
      <c r="H1314" s="382"/>
      <c r="I1314" s="265"/>
      <c r="J1314" s="383"/>
      <c r="K1314" s="292"/>
      <c r="L1314" s="382"/>
    </row>
    <row r="1315" spans="1:15" x14ac:dyDescent="0.2">
      <c r="A1315" s="301">
        <v>16</v>
      </c>
      <c r="B1315" s="301" t="s">
        <v>160</v>
      </c>
      <c r="C1315" s="399">
        <v>42470</v>
      </c>
      <c r="D1315" s="265"/>
      <c r="E1315" s="397">
        <f>SUM(E1246,E1177,E1107,E1036,E965,E894,E824,E753,E683,E613,E543,E474,E404,E335,E263,E192,E120)</f>
        <v>56</v>
      </c>
      <c r="F1315" s="396">
        <f>SUM(F1246,F1177,F1107,F1036,F965,F894,F824,F753,F683,F613,F543,F474,F404,F335,F263,F192,F120)</f>
        <v>2515525</v>
      </c>
      <c r="G1315" s="314"/>
      <c r="H1315" s="401">
        <f>SUM(H1246,H1177,H1107,H1036,H965,H894,H824,H753,H683,H613,H543,H474,H404,H335,H263,H192,H120)</f>
        <v>2515525</v>
      </c>
      <c r="I1315" s="265"/>
      <c r="J1315" s="383"/>
      <c r="K1315" s="296">
        <f>ROUND(F1315*((+E$49+E$51+E$53)/(E$49+E$51+E$53+E$55)),0)</f>
        <v>1584583</v>
      </c>
      <c r="L1315" s="384">
        <f>ROUND((+F1315*(E$55/(+E$49+E$51+E$53+E$55))),0)</f>
        <v>930942</v>
      </c>
    </row>
    <row r="1316" spans="1:15" x14ac:dyDescent="0.2">
      <c r="B1316" s="263"/>
      <c r="C1316" s="399"/>
      <c r="D1316" s="265"/>
      <c r="E1316" s="386"/>
      <c r="F1316" s="292"/>
      <c r="G1316" s="292"/>
      <c r="H1316" s="382"/>
      <c r="I1316" s="265"/>
      <c r="J1316" s="383"/>
      <c r="K1316" s="292"/>
      <c r="L1316" s="382"/>
    </row>
    <row r="1317" spans="1:15" ht="15.75" x14ac:dyDescent="0.25">
      <c r="A1317" s="282" t="s">
        <v>115</v>
      </c>
      <c r="B1317" s="263"/>
      <c r="C1317" s="399"/>
      <c r="D1317" s="265"/>
      <c r="E1317" s="386"/>
      <c r="F1317" s="292"/>
      <c r="G1317" s="292"/>
      <c r="H1317" s="382"/>
      <c r="I1317" s="265"/>
      <c r="J1317" s="383"/>
      <c r="K1317" s="292"/>
      <c r="L1317" s="382"/>
    </row>
    <row r="1318" spans="1:15" x14ac:dyDescent="0.2">
      <c r="A1318" s="300">
        <v>17</v>
      </c>
      <c r="B1318" s="301" t="s">
        <v>60</v>
      </c>
      <c r="C1318" s="405">
        <v>63555</v>
      </c>
      <c r="D1318" s="303"/>
      <c r="E1318" s="397">
        <f>SUM(E1249,E1180,E1110,E1039,E968,E897,E827,E756,E686,E616,E546,E477,E407,E338,E266,E195,E123)</f>
        <v>57</v>
      </c>
      <c r="F1318" s="292">
        <f>SUM(F1249,F1180,F1110,F1039,F968,F897,F827,F756,F686,F616,F546,F477,F407,F338,F266,F195,F123)</f>
        <v>3622635</v>
      </c>
      <c r="G1318" s="305"/>
      <c r="H1318" s="382">
        <f>SUM(H1249,H1180,H1110,H1039,H968,H897,H827,H756,H686,H616,H546,H477,H407,H338,H266,H195,H123)</f>
        <v>3622635</v>
      </c>
      <c r="I1318" s="303"/>
      <c r="J1318" s="387"/>
      <c r="K1318" s="292">
        <f>SUM(E1318*F1278)</f>
        <v>3622635</v>
      </c>
      <c r="L1318" s="382"/>
    </row>
    <row r="1319" spans="1:15" x14ac:dyDescent="0.2">
      <c r="A1319" s="301"/>
      <c r="B1319" s="301"/>
      <c r="C1319" s="399"/>
      <c r="D1319" s="265"/>
      <c r="E1319" s="397"/>
      <c r="F1319" s="292"/>
      <c r="G1319" s="292"/>
      <c r="H1319" s="382"/>
      <c r="I1319" s="265"/>
      <c r="J1319" s="383"/>
      <c r="K1319" s="292"/>
      <c r="L1319" s="382"/>
    </row>
    <row r="1320" spans="1:15" ht="30" x14ac:dyDescent="0.2">
      <c r="A1320" s="300">
        <v>18</v>
      </c>
      <c r="B1320" s="301" t="s">
        <v>61</v>
      </c>
      <c r="C1320" s="399">
        <v>63555</v>
      </c>
      <c r="D1320" s="265"/>
      <c r="E1320" s="397">
        <f>SUM(E1251,E1182,E1112,E1041,E970,E899,E829,E758,E688,E618,E548,E479,E409,E340,E268,E197,E125)</f>
        <v>17</v>
      </c>
      <c r="F1320" s="292">
        <f>SUM(F1251,F1182,F1112,F1041,F970,F899,F829,F758,F688,F618,F548,F479,F409,F340,F268,F197,F125)</f>
        <v>1080435</v>
      </c>
      <c r="G1320" s="292"/>
      <c r="H1320" s="382">
        <f>SUM(H1251,H1182,H1112,H1041,H970,H899,H829,H758,H688,H618,H548,H479,H409,H340,H268,H197,H125)</f>
        <v>1080435</v>
      </c>
      <c r="I1320" s="265"/>
      <c r="J1320" s="383" t="s">
        <v>62</v>
      </c>
      <c r="K1320" s="292">
        <f>SUM(E1320*F1278)</f>
        <v>1080435</v>
      </c>
      <c r="L1320" s="382"/>
    </row>
    <row r="1321" spans="1:15" x14ac:dyDescent="0.2">
      <c r="A1321" s="301"/>
      <c r="B1321" s="301"/>
      <c r="C1321" s="399"/>
      <c r="D1321" s="265"/>
      <c r="E1321" s="397"/>
      <c r="F1321" s="292"/>
      <c r="G1321" s="292"/>
      <c r="H1321" s="382"/>
      <c r="I1321" s="265"/>
      <c r="J1321" s="383"/>
      <c r="K1321" s="292"/>
      <c r="L1321" s="382"/>
    </row>
    <row r="1322" spans="1:15" x14ac:dyDescent="0.2">
      <c r="A1322" s="301">
        <v>19</v>
      </c>
      <c r="B1322" s="301" t="s">
        <v>63</v>
      </c>
      <c r="C1322" s="399">
        <v>63555</v>
      </c>
      <c r="D1322" s="265"/>
      <c r="E1322" s="397">
        <f>SUM(E1253,E1184,E1114,E1043,E972,E901,E831,E760,E690,E620,E550,E481,E411,E342,E270,E199,E127)</f>
        <v>84</v>
      </c>
      <c r="F1322" s="292">
        <f>SUM(F1253,F1184,F1114,F1043,F972,F901,F831,F760,F690,F620,F550,F481,F411,F342,F270,F199,F127)</f>
        <v>5338620</v>
      </c>
      <c r="G1322" s="292"/>
      <c r="H1322" s="382">
        <f>SUM(H1253,H1184,H1114,H1043,H972,H901,H831,H760,H690,H620,H550,H481,H411,H342,H270,H199,H127)</f>
        <v>5338620</v>
      </c>
      <c r="I1322" s="265"/>
      <c r="J1322" s="383"/>
      <c r="K1322" s="292">
        <f>SUM(E1322*F1278)</f>
        <v>5338620</v>
      </c>
      <c r="L1322" s="382"/>
    </row>
    <row r="1323" spans="1:15" x14ac:dyDescent="0.2">
      <c r="A1323" s="301"/>
      <c r="B1323" s="301"/>
      <c r="C1323" s="399"/>
      <c r="D1323" s="265"/>
      <c r="E1323" s="397"/>
      <c r="F1323" s="292"/>
      <c r="G1323" s="292"/>
      <c r="H1323" s="382"/>
      <c r="I1323" s="265"/>
      <c r="J1323" s="383"/>
      <c r="K1323" s="292"/>
      <c r="L1323" s="382"/>
    </row>
    <row r="1324" spans="1:15" x14ac:dyDescent="0.2">
      <c r="A1324" s="301">
        <v>20</v>
      </c>
      <c r="B1324" s="301" t="s">
        <v>111</v>
      </c>
      <c r="C1324" s="399">
        <v>63555</v>
      </c>
      <c r="D1324" s="265"/>
      <c r="E1324" s="397">
        <f>SUM(E1255,E1186,E1116,E1045,E974,E903,E833,E762,E692,E622,E552,E483,E413,E344,E272,E201,E129)</f>
        <v>39</v>
      </c>
      <c r="F1324" s="292">
        <f>SUM(F1255,F1186,F1116,F1045,F974,F903,F833,F762,F692,F622,F552,F483,F413,F344,F272,F201,F129)</f>
        <v>2478645</v>
      </c>
      <c r="G1324" s="292"/>
      <c r="H1324" s="382">
        <f>SUM(H1255,H1186,H1116,H1045,H974,H903,H833,H762,H692,H622,H552,H483,H413,H344,H272,H201,H129)</f>
        <v>2478645</v>
      </c>
      <c r="I1324" s="292"/>
      <c r="J1324" s="386"/>
      <c r="K1324" s="292">
        <f>SUM(E1324*F1278)</f>
        <v>2478645</v>
      </c>
      <c r="L1324" s="388"/>
    </row>
    <row r="1325" spans="1:15" ht="18" x14ac:dyDescent="0.25">
      <c r="A1325" s="301"/>
      <c r="B1325" s="301"/>
      <c r="C1325" s="399"/>
      <c r="D1325" s="265"/>
      <c r="E1325" s="397"/>
      <c r="F1325" s="292"/>
      <c r="G1325" s="292"/>
      <c r="H1325" s="382"/>
      <c r="I1325" s="292"/>
      <c r="J1325" s="386"/>
      <c r="K1325" s="314"/>
      <c r="L1325" s="388"/>
      <c r="O1325" s="358">
        <f>SUM(O130,O202,O273,O345,O414,O484,O553,O623,O693,O763,O834,O904,O975,O1046,O1117,O1187,O1256)</f>
        <v>0</v>
      </c>
    </row>
    <row r="1326" spans="1:15" x14ac:dyDescent="0.2">
      <c r="A1326" s="301">
        <v>21</v>
      </c>
      <c r="B1326" s="301" t="s">
        <v>112</v>
      </c>
      <c r="C1326" s="399">
        <v>63555</v>
      </c>
      <c r="D1326" s="265"/>
      <c r="E1326" s="397">
        <f>SUM(E1257,E1188,E1118,E1047,E976,E905,E835,E764,E694,E624,E554,E485,E415,E346,E274,E203,E131)</f>
        <v>92</v>
      </c>
      <c r="F1326" s="292">
        <f>SUM(F1257,F1188,F1118,F1047,F976,F905,F835,F764,F694,F624,F554,F485,F415,F346,F274,F203,F131)</f>
        <v>5847060</v>
      </c>
      <c r="G1326" s="314"/>
      <c r="H1326" s="382">
        <f>SUM(H1257,H1188,H1118,H1047,H976,H905,H835,H764,H694,H624,H554,H485,H415,H346,H274,H203,H131)</f>
        <v>5847060</v>
      </c>
      <c r="I1326" s="292"/>
      <c r="J1326" s="386"/>
      <c r="K1326" s="292"/>
      <c r="L1326" s="382">
        <f>SUM(H1326)</f>
        <v>5847060</v>
      </c>
    </row>
    <row r="1327" spans="1:15" x14ac:dyDescent="0.2">
      <c r="A1327" s="301"/>
      <c r="B1327" s="301"/>
      <c r="C1327" s="399"/>
      <c r="D1327" s="265"/>
      <c r="E1327" s="386"/>
      <c r="F1327" s="292"/>
      <c r="G1327" s="314"/>
      <c r="H1327" s="382"/>
      <c r="I1327" s="292"/>
      <c r="J1327" s="386"/>
      <c r="K1327" s="314"/>
      <c r="L1327" s="388"/>
    </row>
    <row r="1328" spans="1:15" x14ac:dyDescent="0.2">
      <c r="A1328" s="301">
        <v>22</v>
      </c>
      <c r="B1328" s="301" t="s">
        <v>155</v>
      </c>
      <c r="C1328" s="406"/>
      <c r="D1328" s="307"/>
      <c r="E1328" s="386"/>
      <c r="F1328" s="292"/>
      <c r="G1328" s="292">
        <f>SUM(G1259,G1190,G1120,G1049,G978,G907,G837,G766,G696,G626,G556,G487,G417,G348,G276,G205,G133)</f>
        <v>4914350</v>
      </c>
      <c r="H1328" s="382">
        <f>SUM(H1259,H1190,H1120,H1049,H978,H907,H837,H766,H696,H626,H556,H487,H417,H348,H276,H205,H133)</f>
        <v>4914350</v>
      </c>
      <c r="I1328" s="265"/>
      <c r="J1328" s="383" t="s">
        <v>62</v>
      </c>
      <c r="K1328" s="292">
        <f>ROUND(175/2*C1273,0)</f>
        <v>2457175</v>
      </c>
      <c r="L1328" s="382">
        <f>ROUND(175/2*C1273,0)</f>
        <v>2457175</v>
      </c>
    </row>
    <row r="1329" spans="1:12" x14ac:dyDescent="0.2">
      <c r="A1329" s="301"/>
      <c r="B1329" s="301"/>
      <c r="C1329" s="399"/>
      <c r="D1329" s="265"/>
      <c r="E1329" s="386"/>
      <c r="F1329" s="292"/>
      <c r="G1329" s="292"/>
      <c r="H1329" s="382"/>
      <c r="I1329" s="265"/>
      <c r="J1329" s="383"/>
      <c r="K1329" s="292"/>
      <c r="L1329" s="382"/>
    </row>
    <row r="1330" spans="1:12" x14ac:dyDescent="0.2">
      <c r="A1330" s="301">
        <v>23</v>
      </c>
      <c r="B1330" s="301" t="s">
        <v>66</v>
      </c>
      <c r="C1330" s="399">
        <v>11500</v>
      </c>
      <c r="D1330" s="265"/>
      <c r="E1330" s="386"/>
      <c r="F1330" s="292"/>
      <c r="G1330" s="292">
        <f>SUM(G1261,G1192,G1122,G1051,G980,G909,G839,G768,G698,G628,G558,G489,G419,G350,G278,G207,G135)</f>
        <v>4864500</v>
      </c>
      <c r="H1330" s="382">
        <f>SUM(H1261,H1192,H1122,H1051,H980,H909,H839,H768,H698,H628,H558,H489,H419,H350,H278,H207,H135)</f>
        <v>4864500</v>
      </c>
      <c r="I1330" s="265"/>
      <c r="J1330" s="385">
        <f>ROUND(11500*E1287,0)</f>
        <v>195500</v>
      </c>
      <c r="K1330" s="296">
        <f>(ROUND(11500*(+E1322+E1320+E1318+E1324+E1313+E1315),0))</f>
        <v>3611000</v>
      </c>
      <c r="L1330" s="384">
        <f>ROUND(11500*E1326,0)</f>
        <v>1058000</v>
      </c>
    </row>
    <row r="1331" spans="1:12" x14ac:dyDescent="0.2">
      <c r="A1331" s="301"/>
      <c r="B1331" s="301"/>
      <c r="C1331" s="399"/>
      <c r="D1331" s="265"/>
      <c r="E1331" s="386"/>
      <c r="F1331" s="314"/>
      <c r="G1331" s="292"/>
      <c r="H1331" s="382"/>
      <c r="J1331" s="383"/>
      <c r="K1331" s="296"/>
      <c r="L1331" s="384"/>
    </row>
    <row r="1332" spans="1:12" x14ac:dyDescent="0.2">
      <c r="A1332" s="301">
        <v>24</v>
      </c>
      <c r="B1332" s="301" t="s">
        <v>82</v>
      </c>
      <c r="C1332" s="399"/>
      <c r="D1332" s="265"/>
      <c r="E1332" s="386"/>
      <c r="F1332" s="314"/>
      <c r="G1332" s="292">
        <f>SUM(G1263,G1194,G1124,G1053,G982,G911,G841,G770,G700,G630,G560,G491,G421,G352,G280,G209,G137)</f>
        <v>1539620</v>
      </c>
      <c r="H1332" s="382">
        <f>SUM(H1263,H1194,H1124,H1053,H982,H911,H841,H770,H700,H630,H560,H491,H421,H352,H280,H209,H137)</f>
        <v>1539620</v>
      </c>
      <c r="I1332" s="314"/>
      <c r="J1332" s="383"/>
      <c r="K1332" s="296"/>
      <c r="L1332" s="384">
        <f>+H1332</f>
        <v>1539620</v>
      </c>
    </row>
    <row r="1333" spans="1:12" ht="15.75" thickBot="1" x14ac:dyDescent="0.25">
      <c r="B1333" s="331"/>
      <c r="C1333" s="407"/>
      <c r="D1333" s="265"/>
      <c r="E1333" s="386"/>
      <c r="F1333" s="314"/>
      <c r="G1333" s="314"/>
      <c r="H1333" s="382"/>
      <c r="I1333" s="389"/>
      <c r="J1333" s="383"/>
      <c r="K1333" s="314"/>
      <c r="L1333" s="382"/>
    </row>
    <row r="1334" spans="1:12" ht="16.5" thickBot="1" x14ac:dyDescent="0.3">
      <c r="B1334" s="334" t="s">
        <v>67</v>
      </c>
      <c r="C1334" s="408"/>
      <c r="D1334" s="360"/>
      <c r="E1334" s="361">
        <f>SUM(E1284:E1333)</f>
        <v>503</v>
      </c>
      <c r="F1334" s="360">
        <f>SUM(F1284:F1332)</f>
        <v>40140672.552749999</v>
      </c>
      <c r="G1334" s="360">
        <f>SUM(G1285:G1332)</f>
        <v>20813970</v>
      </c>
      <c r="H1334" s="395">
        <f>SUM(H1285:H1333)</f>
        <v>60954642.552749999</v>
      </c>
      <c r="I1334" s="360"/>
      <c r="J1334" s="398">
        <f>SUM(J139,J212,J282,J355,J423,J562,J632,J702,J772,J843,J913,J985,J1055,J1126,J1197,J1265,J493)</f>
        <v>9141867.5</v>
      </c>
      <c r="K1334" s="409">
        <f>SUM(K139,K211,K282,K354,K423,K562,K632,K702,K772,K843,K913,K984,K1055,K1126,K1196,K1265,K493)</f>
        <v>34130524</v>
      </c>
      <c r="L1334" s="409">
        <f>SUM(L139,L211,L282,L354,L423,L562,L632,L702,L772,L843,L913,L984,L1055,L1126,L1196,L1265,L493)</f>
        <v>17426896</v>
      </c>
    </row>
    <row r="1335" spans="1:12" ht="15.75" x14ac:dyDescent="0.25">
      <c r="A1335" s="266"/>
      <c r="C1335" s="266"/>
      <c r="I1335" s="314"/>
      <c r="J1335" s="314" t="s">
        <v>217</v>
      </c>
      <c r="K1335" s="292">
        <f>SUM(J1334:L1334)</f>
        <v>60699287.5</v>
      </c>
      <c r="L1335" s="314"/>
    </row>
    <row r="1336" spans="1:12" ht="15.75" x14ac:dyDescent="0.25">
      <c r="G1336" s="265"/>
      <c r="I1336" s="314"/>
      <c r="J1336" s="314" t="s">
        <v>218</v>
      </c>
      <c r="K1336" s="314"/>
      <c r="L1336" s="314"/>
    </row>
    <row r="1337" spans="1:12" x14ac:dyDescent="0.2">
      <c r="A1337" s="264" t="s">
        <v>120</v>
      </c>
      <c r="I1337" s="314"/>
      <c r="J1337" s="314"/>
      <c r="K1337" s="314"/>
      <c r="L1337" s="314"/>
    </row>
    <row r="1338" spans="1:12" ht="15.75" x14ac:dyDescent="0.25">
      <c r="A1338" s="266"/>
      <c r="C1338" s="266"/>
      <c r="D1338" s="314"/>
      <c r="E1338" s="314"/>
      <c r="F1338" s="314"/>
      <c r="G1338" s="314"/>
      <c r="H1338" s="292"/>
      <c r="I1338" s="314"/>
      <c r="J1338" s="314"/>
      <c r="K1338" s="314"/>
      <c r="L1338" s="314"/>
    </row>
    <row r="1339" spans="1:12" ht="15.75" x14ac:dyDescent="0.25">
      <c r="A1339" s="266" t="s">
        <v>121</v>
      </c>
      <c r="C1339" s="266">
        <v>445</v>
      </c>
      <c r="D1339" s="314"/>
      <c r="E1339" s="314"/>
      <c r="F1339" s="314"/>
      <c r="G1339" s="314"/>
      <c r="H1339" s="292"/>
    </row>
    <row r="1340" spans="1:12" ht="15.75" x14ac:dyDescent="0.25">
      <c r="A1340" s="266" t="s">
        <v>122</v>
      </c>
      <c r="C1340" s="266">
        <v>109</v>
      </c>
      <c r="D1340" s="359"/>
      <c r="E1340" s="314"/>
      <c r="F1340" s="314"/>
      <c r="G1340" s="314"/>
      <c r="H1340" s="292"/>
    </row>
    <row r="1341" spans="1:12" ht="15.75" x14ac:dyDescent="0.25">
      <c r="A1341" s="362" t="s">
        <v>123</v>
      </c>
      <c r="C1341" s="363">
        <v>495</v>
      </c>
      <c r="D1341" s="364"/>
      <c r="E1341" s="314"/>
      <c r="F1341" s="314"/>
      <c r="G1341" s="314"/>
      <c r="H1341" s="292"/>
    </row>
    <row r="1342" spans="1:12" ht="15.75" x14ac:dyDescent="0.25">
      <c r="A1342" s="362" t="s">
        <v>124</v>
      </c>
      <c r="B1342" s="365"/>
      <c r="C1342" s="363">
        <v>1059</v>
      </c>
      <c r="D1342" s="363"/>
      <c r="E1342" s="366"/>
      <c r="F1342" s="314"/>
      <c r="G1342" s="314"/>
      <c r="H1342" s="292"/>
    </row>
    <row r="1343" spans="1:12" ht="15.75" x14ac:dyDescent="0.25">
      <c r="A1343" s="266"/>
    </row>
    <row r="1351" spans="1:12" x14ac:dyDescent="0.2">
      <c r="A1351" s="262"/>
      <c r="B1351" s="263"/>
    </row>
    <row r="1352" spans="1:12" ht="15.75" x14ac:dyDescent="0.25">
      <c r="A1352" s="266"/>
      <c r="B1352" s="267"/>
      <c r="C1352" s="320"/>
    </row>
    <row r="1353" spans="1:12" ht="15.75" x14ac:dyDescent="0.25">
      <c r="A1353" s="266"/>
      <c r="B1353" s="263"/>
      <c r="E1353" s="357"/>
    </row>
    <row r="1354" spans="1:12" x14ac:dyDescent="0.2">
      <c r="B1354" s="263"/>
      <c r="C1354" s="268"/>
      <c r="D1354" s="268"/>
    </row>
    <row r="1355" spans="1:12" x14ac:dyDescent="0.2">
      <c r="B1355" s="263"/>
      <c r="C1355" s="269"/>
      <c r="D1355" s="269"/>
    </row>
    <row r="1356" spans="1:12" ht="15.75" x14ac:dyDescent="0.25">
      <c r="B1356" s="263"/>
      <c r="C1356" s="270"/>
      <c r="D1356" s="270"/>
      <c r="E1356" s="271"/>
    </row>
    <row r="1357" spans="1:12" ht="15.75" x14ac:dyDescent="0.25">
      <c r="B1357" s="263"/>
      <c r="C1357" s="270"/>
      <c r="D1357" s="268"/>
      <c r="E1357" s="271"/>
      <c r="I1357" s="265"/>
    </row>
    <row r="1358" spans="1:12" ht="15.75" x14ac:dyDescent="0.25">
      <c r="B1358" s="263"/>
      <c r="C1358" s="270"/>
      <c r="D1358" s="270"/>
      <c r="E1358" s="271"/>
      <c r="I1358" s="265"/>
    </row>
    <row r="1359" spans="1:12" ht="15.75" x14ac:dyDescent="0.25">
      <c r="B1359" s="263"/>
      <c r="C1359" s="270"/>
      <c r="D1359" s="268"/>
      <c r="E1359" s="271"/>
      <c r="I1359" s="265"/>
    </row>
    <row r="1360" spans="1:12" x14ac:dyDescent="0.2">
      <c r="B1360" s="263"/>
      <c r="I1360" s="292"/>
      <c r="J1360" s="314"/>
      <c r="K1360" s="314"/>
      <c r="L1360" s="314"/>
    </row>
    <row r="1361" spans="1:12" ht="15.75" x14ac:dyDescent="0.25">
      <c r="A1361" s="271"/>
      <c r="B1361" s="272"/>
      <c r="D1361" s="273"/>
      <c r="F1361" s="273"/>
      <c r="I1361" s="314"/>
      <c r="J1361" s="285"/>
      <c r="K1361" s="285"/>
      <c r="L1361" s="368"/>
    </row>
    <row r="1362" spans="1:12" ht="15.75" x14ac:dyDescent="0.25">
      <c r="A1362" s="271"/>
      <c r="B1362" s="272"/>
      <c r="D1362" s="273"/>
      <c r="F1362" s="273"/>
      <c r="I1362" s="285"/>
      <c r="J1362" s="369"/>
      <c r="K1362" s="285"/>
      <c r="L1362" s="285"/>
    </row>
    <row r="1363" spans="1:12" ht="15.75" x14ac:dyDescent="0.25">
      <c r="A1363" s="271"/>
      <c r="B1363" s="272"/>
      <c r="D1363" s="273"/>
      <c r="F1363" s="273"/>
      <c r="I1363" s="285"/>
      <c r="J1363" s="371"/>
      <c r="K1363" s="362"/>
      <c r="L1363" s="362"/>
    </row>
    <row r="1364" spans="1:12" x14ac:dyDescent="0.2">
      <c r="A1364" s="271"/>
      <c r="B1364" s="272"/>
      <c r="C1364" s="367"/>
      <c r="D1364" s="367"/>
      <c r="E1364" s="314"/>
      <c r="F1364" s="314"/>
      <c r="G1364" s="314"/>
      <c r="H1364" s="292"/>
      <c r="I1364" s="292"/>
      <c r="J1364" s="292"/>
      <c r="K1364" s="292"/>
      <c r="L1364" s="292"/>
    </row>
    <row r="1365" spans="1:12" x14ac:dyDescent="0.2">
      <c r="B1365" s="263"/>
      <c r="C1365" s="314"/>
      <c r="D1365" s="314"/>
      <c r="E1365" s="314"/>
      <c r="F1365" s="314"/>
      <c r="G1365" s="314"/>
      <c r="H1365" s="292"/>
      <c r="I1365" s="292"/>
      <c r="J1365" s="292"/>
      <c r="K1365" s="292"/>
      <c r="L1365" s="292"/>
    </row>
    <row r="1366" spans="1:12" ht="15.75" x14ac:dyDescent="0.25">
      <c r="A1366" s="266"/>
      <c r="B1366" s="276"/>
      <c r="C1366" s="369"/>
      <c r="D1366" s="369"/>
      <c r="E1366" s="285"/>
      <c r="F1366" s="285"/>
      <c r="G1366" s="285"/>
      <c r="H1366" s="370"/>
      <c r="I1366" s="292"/>
      <c r="J1366" s="292"/>
      <c r="K1366" s="292"/>
      <c r="L1366" s="292"/>
    </row>
    <row r="1367" spans="1:12" ht="15.75" x14ac:dyDescent="0.25">
      <c r="A1367" s="282"/>
      <c r="B1367" s="276"/>
      <c r="C1367" s="369"/>
      <c r="D1367" s="369"/>
      <c r="E1367" s="285"/>
      <c r="F1367" s="285"/>
      <c r="G1367" s="285"/>
      <c r="H1367" s="370"/>
      <c r="I1367" s="292"/>
      <c r="J1367" s="292"/>
      <c r="K1367" s="292"/>
      <c r="L1367" s="292"/>
    </row>
    <row r="1368" spans="1:12" x14ac:dyDescent="0.2">
      <c r="B1368" s="263"/>
      <c r="C1368" s="292"/>
      <c r="D1368" s="292"/>
      <c r="E1368" s="314"/>
      <c r="F1368" s="292"/>
      <c r="G1368" s="292"/>
      <c r="H1368" s="292"/>
      <c r="I1368" s="292"/>
      <c r="J1368" s="292"/>
      <c r="K1368" s="292"/>
      <c r="L1368" s="292"/>
    </row>
    <row r="1369" spans="1:12" x14ac:dyDescent="0.2">
      <c r="B1369" s="263"/>
      <c r="C1369" s="292"/>
      <c r="D1369" s="292"/>
      <c r="E1369" s="314"/>
      <c r="F1369" s="292"/>
      <c r="G1369" s="292"/>
      <c r="H1369" s="292"/>
      <c r="I1369" s="292"/>
      <c r="J1369" s="292"/>
      <c r="K1369" s="292"/>
      <c r="L1369" s="292"/>
    </row>
    <row r="1370" spans="1:12" x14ac:dyDescent="0.2">
      <c r="B1370" s="263"/>
      <c r="C1370" s="292"/>
      <c r="D1370" s="292"/>
      <c r="E1370" s="314"/>
      <c r="F1370" s="292"/>
      <c r="G1370" s="292"/>
      <c r="H1370" s="292"/>
      <c r="I1370" s="292"/>
      <c r="J1370" s="292"/>
      <c r="K1370" s="292"/>
      <c r="L1370" s="292"/>
    </row>
    <row r="1371" spans="1:12" x14ac:dyDescent="0.2">
      <c r="B1371" s="263"/>
      <c r="C1371" s="292"/>
      <c r="D1371" s="292"/>
      <c r="E1371" s="314"/>
      <c r="F1371" s="292"/>
      <c r="G1371" s="292"/>
      <c r="H1371" s="292"/>
      <c r="I1371" s="292"/>
      <c r="J1371" s="292"/>
      <c r="K1371" s="292"/>
      <c r="L1371" s="292"/>
    </row>
    <row r="1372" spans="1:12" x14ac:dyDescent="0.2">
      <c r="B1372" s="263"/>
      <c r="C1372" s="292"/>
      <c r="D1372" s="292"/>
      <c r="E1372" s="314"/>
      <c r="F1372" s="292"/>
      <c r="G1372" s="292"/>
      <c r="H1372" s="292"/>
      <c r="I1372" s="292"/>
      <c r="J1372" s="292"/>
      <c r="K1372" s="292"/>
      <c r="L1372" s="292"/>
    </row>
    <row r="1373" spans="1:12" x14ac:dyDescent="0.2">
      <c r="B1373" s="263"/>
      <c r="C1373" s="292"/>
      <c r="D1373" s="292"/>
      <c r="E1373" s="314"/>
      <c r="F1373" s="292"/>
      <c r="G1373" s="292"/>
      <c r="H1373" s="292"/>
      <c r="I1373" s="292"/>
      <c r="J1373" s="292"/>
      <c r="K1373" s="292"/>
      <c r="L1373" s="292"/>
    </row>
    <row r="1374" spans="1:12" x14ac:dyDescent="0.2">
      <c r="B1374" s="263"/>
      <c r="C1374" s="292"/>
      <c r="D1374" s="292"/>
      <c r="E1374" s="314"/>
      <c r="F1374" s="292"/>
      <c r="G1374" s="292"/>
      <c r="H1374" s="292"/>
      <c r="I1374" s="292"/>
      <c r="J1374" s="292"/>
      <c r="K1374" s="292"/>
      <c r="L1374" s="292"/>
    </row>
    <row r="1375" spans="1:12" x14ac:dyDescent="0.2">
      <c r="B1375" s="263"/>
      <c r="C1375" s="292"/>
      <c r="D1375" s="292"/>
      <c r="E1375" s="314"/>
      <c r="F1375" s="292"/>
      <c r="G1375" s="292"/>
      <c r="H1375" s="292"/>
      <c r="I1375" s="292"/>
      <c r="J1375" s="292"/>
      <c r="K1375" s="292"/>
      <c r="L1375" s="292"/>
    </row>
    <row r="1376" spans="1:12" x14ac:dyDescent="0.2">
      <c r="B1376" s="263"/>
      <c r="C1376" s="292"/>
      <c r="D1376" s="292"/>
      <c r="E1376" s="314"/>
      <c r="F1376" s="292"/>
      <c r="G1376" s="292"/>
      <c r="H1376" s="292"/>
      <c r="I1376" s="292"/>
      <c r="J1376" s="296"/>
      <c r="K1376" s="296"/>
      <c r="L1376" s="296"/>
    </row>
    <row r="1377" spans="2:12" x14ac:dyDescent="0.2">
      <c r="B1377" s="263"/>
      <c r="C1377" s="292"/>
      <c r="D1377" s="292"/>
      <c r="E1377" s="314"/>
      <c r="F1377" s="292"/>
      <c r="G1377" s="292"/>
      <c r="H1377" s="292"/>
      <c r="I1377" s="292"/>
      <c r="J1377" s="292"/>
      <c r="K1377" s="292"/>
      <c r="L1377" s="292"/>
    </row>
    <row r="1378" spans="2:12" x14ac:dyDescent="0.2">
      <c r="B1378" s="263"/>
      <c r="C1378" s="292"/>
      <c r="D1378" s="292"/>
      <c r="E1378" s="314"/>
      <c r="F1378" s="292"/>
      <c r="G1378" s="292"/>
      <c r="H1378" s="292"/>
      <c r="I1378" s="292"/>
      <c r="J1378" s="292"/>
      <c r="K1378" s="292"/>
      <c r="L1378" s="292"/>
    </row>
    <row r="1379" spans="2:12" x14ac:dyDescent="0.2">
      <c r="B1379" s="263"/>
      <c r="C1379" s="292"/>
      <c r="D1379" s="292"/>
      <c r="E1379" s="314"/>
      <c r="F1379" s="292"/>
      <c r="G1379" s="292"/>
      <c r="H1379" s="292"/>
      <c r="I1379" s="292"/>
      <c r="J1379" s="292"/>
      <c r="K1379" s="292"/>
      <c r="L1379" s="292"/>
    </row>
    <row r="1380" spans="2:12" x14ac:dyDescent="0.2">
      <c r="B1380" s="263"/>
      <c r="C1380" s="296"/>
      <c r="D1380" s="292"/>
      <c r="E1380" s="314"/>
      <c r="F1380" s="292"/>
      <c r="G1380" s="296"/>
      <c r="H1380" s="296"/>
      <c r="I1380" s="292"/>
      <c r="J1380" s="292"/>
      <c r="K1380" s="292"/>
      <c r="L1380" s="292"/>
    </row>
    <row r="1381" spans="2:12" x14ac:dyDescent="0.2">
      <c r="B1381" s="263"/>
      <c r="C1381" s="292"/>
      <c r="D1381" s="292"/>
      <c r="E1381" s="314"/>
      <c r="F1381" s="292"/>
      <c r="G1381" s="292"/>
      <c r="H1381" s="292"/>
      <c r="I1381" s="292"/>
      <c r="J1381" s="292"/>
      <c r="K1381" s="292"/>
      <c r="L1381" s="292"/>
    </row>
    <row r="1382" spans="2:12" x14ac:dyDescent="0.2">
      <c r="B1382" s="263"/>
      <c r="C1382" s="292"/>
      <c r="D1382" s="292"/>
      <c r="E1382" s="314"/>
      <c r="F1382" s="292"/>
      <c r="G1382" s="292"/>
      <c r="H1382" s="292"/>
      <c r="I1382" s="292"/>
      <c r="J1382" s="292"/>
      <c r="K1382" s="292"/>
      <c r="L1382" s="292"/>
    </row>
    <row r="1383" spans="2:12" x14ac:dyDescent="0.2">
      <c r="B1383" s="263"/>
      <c r="C1383" s="292"/>
      <c r="D1383" s="292"/>
      <c r="E1383" s="314"/>
      <c r="F1383" s="292"/>
      <c r="G1383" s="292"/>
      <c r="H1383" s="292"/>
      <c r="I1383" s="292"/>
      <c r="J1383" s="292"/>
      <c r="K1383" s="292"/>
      <c r="L1383" s="292"/>
    </row>
    <row r="1384" spans="2:12" x14ac:dyDescent="0.2">
      <c r="B1384" s="263"/>
      <c r="C1384" s="292"/>
      <c r="D1384" s="292"/>
      <c r="E1384" s="314"/>
      <c r="F1384" s="292"/>
      <c r="G1384" s="292"/>
      <c r="H1384" s="292"/>
      <c r="I1384" s="292"/>
      <c r="J1384" s="292"/>
      <c r="K1384" s="296"/>
      <c r="L1384" s="296"/>
    </row>
    <row r="1385" spans="2:12" x14ac:dyDescent="0.2">
      <c r="B1385" s="263"/>
      <c r="C1385" s="292"/>
      <c r="D1385" s="292"/>
      <c r="E1385" s="314"/>
      <c r="F1385" s="292"/>
      <c r="G1385" s="292"/>
      <c r="H1385" s="292"/>
      <c r="I1385" s="292"/>
      <c r="J1385" s="292"/>
      <c r="K1385" s="296"/>
      <c r="L1385" s="296"/>
    </row>
    <row r="1386" spans="2:12" x14ac:dyDescent="0.2">
      <c r="B1386" s="263"/>
      <c r="C1386" s="292"/>
      <c r="D1386" s="292"/>
      <c r="E1386" s="314"/>
      <c r="F1386" s="292"/>
      <c r="G1386" s="292"/>
      <c r="H1386" s="292"/>
      <c r="I1386" s="292"/>
      <c r="J1386" s="292"/>
      <c r="K1386" s="296"/>
      <c r="L1386" s="296"/>
    </row>
    <row r="1387" spans="2:12" x14ac:dyDescent="0.2">
      <c r="B1387" s="263"/>
      <c r="C1387" s="292"/>
      <c r="D1387" s="292"/>
      <c r="E1387" s="314"/>
      <c r="F1387" s="292"/>
      <c r="G1387" s="292"/>
      <c r="H1387" s="292"/>
      <c r="I1387" s="292"/>
      <c r="J1387" s="292"/>
      <c r="K1387" s="296"/>
      <c r="L1387" s="296"/>
    </row>
    <row r="1388" spans="2:12" x14ac:dyDescent="0.2">
      <c r="B1388" s="263"/>
      <c r="C1388" s="292"/>
      <c r="D1388" s="292"/>
      <c r="E1388" s="314"/>
      <c r="F1388" s="292"/>
      <c r="G1388" s="292"/>
      <c r="H1388" s="372"/>
      <c r="I1388" s="292"/>
      <c r="J1388" s="292"/>
      <c r="K1388" s="296"/>
      <c r="L1388" s="296"/>
    </row>
    <row r="1389" spans="2:12" x14ac:dyDescent="0.2">
      <c r="B1389" s="263"/>
      <c r="C1389" s="292"/>
      <c r="D1389" s="292"/>
      <c r="E1389" s="314"/>
      <c r="F1389" s="292"/>
      <c r="G1389" s="292"/>
      <c r="H1389" s="292"/>
      <c r="I1389" s="292"/>
      <c r="J1389" s="292"/>
      <c r="K1389" s="296"/>
      <c r="L1389" s="296"/>
    </row>
    <row r="1390" spans="2:12" x14ac:dyDescent="0.2">
      <c r="B1390" s="263"/>
      <c r="C1390" s="292"/>
      <c r="D1390" s="292"/>
      <c r="E1390" s="314"/>
      <c r="F1390" s="292"/>
      <c r="G1390" s="292"/>
      <c r="H1390" s="292"/>
      <c r="I1390" s="292"/>
      <c r="J1390" s="292"/>
      <c r="K1390" s="296"/>
      <c r="L1390" s="296"/>
    </row>
    <row r="1391" spans="2:12" x14ac:dyDescent="0.2">
      <c r="B1391" s="263"/>
      <c r="C1391" s="292"/>
      <c r="D1391" s="292"/>
      <c r="E1391" s="314"/>
      <c r="F1391" s="292"/>
      <c r="G1391" s="292"/>
      <c r="H1391" s="292"/>
      <c r="I1391" s="292"/>
      <c r="J1391" s="292"/>
      <c r="K1391" s="292"/>
      <c r="L1391" s="292"/>
    </row>
    <row r="1392" spans="2:12" x14ac:dyDescent="0.2">
      <c r="B1392" s="263"/>
      <c r="C1392" s="292"/>
      <c r="D1392" s="292"/>
      <c r="E1392" s="314"/>
      <c r="F1392" s="292"/>
      <c r="G1392" s="292"/>
      <c r="H1392" s="292"/>
      <c r="I1392" s="292"/>
      <c r="J1392" s="314"/>
      <c r="K1392" s="296"/>
      <c r="L1392" s="296"/>
    </row>
    <row r="1393" spans="1:12" x14ac:dyDescent="0.2">
      <c r="B1393" s="263"/>
      <c r="C1393" s="292"/>
      <c r="D1393" s="292"/>
      <c r="E1393" s="314"/>
      <c r="F1393" s="292"/>
      <c r="G1393" s="292"/>
      <c r="H1393" s="292"/>
      <c r="I1393" s="292"/>
      <c r="J1393" s="292"/>
      <c r="K1393" s="292"/>
      <c r="L1393" s="292"/>
    </row>
    <row r="1394" spans="1:12" x14ac:dyDescent="0.2">
      <c r="B1394" s="263"/>
      <c r="C1394" s="292"/>
      <c r="D1394" s="292"/>
      <c r="E1394" s="314"/>
      <c r="F1394" s="292"/>
      <c r="G1394" s="292"/>
      <c r="H1394" s="292"/>
      <c r="I1394" s="292"/>
      <c r="J1394" s="292"/>
      <c r="K1394" s="296"/>
      <c r="L1394" s="296"/>
    </row>
    <row r="1395" spans="1:12" x14ac:dyDescent="0.2">
      <c r="B1395" s="263"/>
      <c r="C1395" s="292"/>
      <c r="D1395" s="292"/>
      <c r="E1395" s="314"/>
      <c r="F1395" s="292"/>
      <c r="G1395" s="292"/>
      <c r="H1395" s="292"/>
      <c r="I1395" s="292"/>
      <c r="J1395" s="292"/>
      <c r="K1395" s="292"/>
      <c r="L1395" s="292"/>
    </row>
    <row r="1396" spans="1:12" x14ac:dyDescent="0.2">
      <c r="B1396" s="263"/>
      <c r="C1396" s="292"/>
      <c r="D1396" s="292"/>
      <c r="E1396" s="314"/>
      <c r="F1396" s="292"/>
      <c r="G1396" s="292"/>
      <c r="H1396" s="292"/>
      <c r="I1396" s="292"/>
      <c r="J1396" s="292"/>
      <c r="K1396" s="292"/>
      <c r="L1396" s="292"/>
    </row>
    <row r="1397" spans="1:12" x14ac:dyDescent="0.2">
      <c r="B1397" s="263"/>
      <c r="C1397" s="292"/>
      <c r="D1397" s="292"/>
      <c r="E1397" s="314"/>
      <c r="F1397" s="292"/>
      <c r="G1397" s="292"/>
      <c r="H1397" s="292"/>
      <c r="I1397" s="305"/>
      <c r="J1397" s="305"/>
      <c r="K1397" s="292"/>
      <c r="L1397" s="292"/>
    </row>
    <row r="1398" spans="1:12" x14ac:dyDescent="0.2">
      <c r="B1398" s="263"/>
      <c r="C1398" s="292"/>
      <c r="D1398" s="292"/>
      <c r="E1398" s="314"/>
      <c r="F1398" s="292"/>
      <c r="G1398" s="292"/>
      <c r="H1398" s="292"/>
      <c r="I1398" s="292"/>
      <c r="J1398" s="292"/>
      <c r="K1398" s="292"/>
      <c r="L1398" s="292"/>
    </row>
    <row r="1399" spans="1:12" x14ac:dyDescent="0.2">
      <c r="B1399" s="263"/>
      <c r="C1399" s="292"/>
      <c r="D1399" s="292"/>
      <c r="E1399" s="314"/>
      <c r="F1399" s="292"/>
      <c r="G1399" s="292"/>
      <c r="H1399" s="292"/>
      <c r="I1399" s="292"/>
      <c r="J1399" s="292"/>
      <c r="K1399" s="292"/>
      <c r="L1399" s="292"/>
    </row>
    <row r="1400" spans="1:12" ht="15.75" x14ac:dyDescent="0.25">
      <c r="A1400" s="282"/>
      <c r="B1400" s="263"/>
      <c r="C1400" s="292"/>
      <c r="D1400" s="292"/>
      <c r="E1400" s="314"/>
      <c r="F1400" s="292"/>
      <c r="G1400" s="292"/>
      <c r="H1400" s="292"/>
      <c r="I1400" s="292"/>
      <c r="J1400" s="292"/>
      <c r="K1400" s="292"/>
      <c r="L1400" s="292"/>
    </row>
    <row r="1401" spans="1:12" x14ac:dyDescent="0.2">
      <c r="A1401" s="300"/>
      <c r="B1401" s="301"/>
      <c r="C1401" s="305"/>
      <c r="D1401" s="305"/>
      <c r="E1401" s="373"/>
      <c r="F1401" s="305"/>
      <c r="G1401" s="305"/>
      <c r="H1401" s="305"/>
      <c r="I1401" s="292"/>
      <c r="J1401" s="292"/>
      <c r="K1401" s="292"/>
      <c r="L1401" s="292"/>
    </row>
    <row r="1402" spans="1:12" x14ac:dyDescent="0.2">
      <c r="A1402" s="301"/>
      <c r="B1402" s="301"/>
      <c r="C1402" s="292"/>
      <c r="D1402" s="292"/>
      <c r="E1402" s="314"/>
      <c r="F1402" s="292"/>
      <c r="G1402" s="292"/>
      <c r="H1402" s="292"/>
      <c r="I1402" s="292"/>
      <c r="J1402" s="292"/>
      <c r="K1402" s="292"/>
      <c r="L1402" s="292"/>
    </row>
    <row r="1403" spans="1:12" x14ac:dyDescent="0.2">
      <c r="A1403" s="300"/>
      <c r="B1403" s="301"/>
      <c r="C1403" s="292"/>
      <c r="D1403" s="292"/>
      <c r="E1403" s="314"/>
      <c r="F1403" s="292"/>
      <c r="G1403" s="292"/>
      <c r="H1403" s="292"/>
      <c r="I1403" s="292"/>
      <c r="J1403" s="292"/>
      <c r="K1403" s="292"/>
      <c r="L1403" s="292"/>
    </row>
    <row r="1404" spans="1:12" x14ac:dyDescent="0.2">
      <c r="A1404" s="301"/>
      <c r="B1404" s="301"/>
      <c r="C1404" s="292"/>
      <c r="D1404" s="292"/>
      <c r="E1404" s="314"/>
      <c r="F1404" s="292"/>
      <c r="G1404" s="292"/>
      <c r="H1404" s="292"/>
      <c r="I1404" s="292"/>
      <c r="J1404" s="292"/>
      <c r="K1404" s="292"/>
      <c r="L1404" s="292"/>
    </row>
    <row r="1405" spans="1:12" x14ac:dyDescent="0.2">
      <c r="A1405" s="301"/>
      <c r="B1405" s="301"/>
      <c r="C1405" s="292"/>
      <c r="D1405" s="292"/>
      <c r="E1405" s="314"/>
      <c r="F1405" s="292"/>
      <c r="G1405" s="292"/>
      <c r="H1405" s="292"/>
      <c r="I1405" s="292"/>
      <c r="J1405" s="292"/>
      <c r="K1405" s="292"/>
      <c r="L1405" s="292"/>
    </row>
    <row r="1406" spans="1:12" x14ac:dyDescent="0.2">
      <c r="A1406" s="301"/>
      <c r="B1406" s="301"/>
      <c r="C1406" s="292"/>
      <c r="D1406" s="292"/>
      <c r="E1406" s="314"/>
      <c r="F1406" s="292"/>
      <c r="G1406" s="292"/>
      <c r="H1406" s="292"/>
      <c r="I1406" s="292"/>
      <c r="J1406" s="292"/>
      <c r="K1406" s="292"/>
      <c r="L1406" s="292"/>
    </row>
    <row r="1407" spans="1:12" x14ac:dyDescent="0.2">
      <c r="A1407" s="301"/>
      <c r="B1407" s="301"/>
      <c r="C1407" s="292"/>
      <c r="D1407" s="292"/>
      <c r="E1407" s="314"/>
      <c r="F1407" s="292"/>
      <c r="G1407" s="292"/>
      <c r="H1407" s="292"/>
      <c r="I1407" s="292"/>
      <c r="J1407" s="292"/>
      <c r="K1407" s="296"/>
      <c r="L1407" s="296"/>
    </row>
    <row r="1408" spans="1:12" x14ac:dyDescent="0.2">
      <c r="A1408" s="301"/>
      <c r="B1408" s="301"/>
      <c r="C1408" s="292"/>
      <c r="D1408" s="292"/>
      <c r="E1408" s="314"/>
      <c r="F1408" s="292"/>
      <c r="G1408" s="292"/>
      <c r="H1408" s="292"/>
      <c r="I1408" s="292"/>
      <c r="J1408" s="292"/>
      <c r="K1408" s="296"/>
      <c r="L1408" s="296"/>
    </row>
    <row r="1409" spans="1:12" x14ac:dyDescent="0.2">
      <c r="A1409" s="301"/>
      <c r="B1409" s="301"/>
      <c r="C1409" s="296"/>
      <c r="D1409" s="296"/>
      <c r="E1409" s="314"/>
      <c r="F1409" s="292"/>
      <c r="G1409" s="292"/>
      <c r="H1409" s="292"/>
      <c r="I1409" s="292"/>
      <c r="J1409" s="292"/>
      <c r="K1409" s="296"/>
      <c r="L1409" s="296"/>
    </row>
    <row r="1410" spans="1:12" x14ac:dyDescent="0.2">
      <c r="A1410" s="301"/>
      <c r="B1410" s="301"/>
      <c r="C1410" s="292"/>
      <c r="D1410" s="292"/>
      <c r="E1410" s="314"/>
      <c r="F1410" s="292"/>
      <c r="G1410" s="292"/>
      <c r="H1410" s="292"/>
      <c r="I1410" s="292"/>
      <c r="J1410" s="292"/>
      <c r="K1410" s="292"/>
      <c r="L1410" s="292"/>
    </row>
    <row r="1411" spans="1:12" x14ac:dyDescent="0.2">
      <c r="A1411" s="301"/>
      <c r="B1411" s="301"/>
      <c r="C1411" s="292"/>
      <c r="D1411" s="292"/>
      <c r="E1411" s="314"/>
      <c r="F1411" s="292"/>
      <c r="G1411" s="292"/>
      <c r="H1411" s="292"/>
      <c r="I1411" s="292"/>
      <c r="J1411" s="292"/>
      <c r="K1411" s="292"/>
      <c r="L1411" s="292"/>
    </row>
    <row r="1412" spans="1:12" x14ac:dyDescent="0.2">
      <c r="A1412" s="301"/>
      <c r="B1412" s="301"/>
      <c r="C1412" s="292"/>
      <c r="D1412" s="292"/>
      <c r="E1412" s="314"/>
      <c r="F1412" s="292"/>
      <c r="G1412" s="292"/>
      <c r="H1412" s="292"/>
      <c r="I1412" s="314"/>
      <c r="J1412" s="314"/>
      <c r="K1412" s="314"/>
      <c r="L1412" s="314"/>
    </row>
    <row r="1413" spans="1:12" x14ac:dyDescent="0.2">
      <c r="A1413" s="301"/>
      <c r="B1413" s="301"/>
      <c r="C1413" s="292"/>
      <c r="D1413" s="292"/>
      <c r="E1413" s="314"/>
      <c r="F1413" s="292"/>
      <c r="G1413" s="292"/>
      <c r="H1413" s="292"/>
      <c r="I1413" s="314"/>
      <c r="J1413" s="314"/>
      <c r="K1413" s="314"/>
      <c r="L1413" s="314"/>
    </row>
    <row r="1414" spans="1:12" x14ac:dyDescent="0.2">
      <c r="B1414" s="263"/>
      <c r="C1414" s="292"/>
      <c r="D1414" s="292"/>
      <c r="E1414" s="314"/>
      <c r="F1414" s="292"/>
      <c r="G1414" s="292"/>
      <c r="H1414" s="292"/>
      <c r="I1414" s="314"/>
      <c r="J1414" s="292"/>
      <c r="K1414" s="314"/>
      <c r="L1414" s="292"/>
    </row>
    <row r="1415" spans="1:12" ht="15.75" x14ac:dyDescent="0.25">
      <c r="B1415" s="267"/>
      <c r="C1415" s="292"/>
      <c r="D1415" s="292"/>
      <c r="E1415" s="314"/>
      <c r="F1415" s="292"/>
      <c r="G1415" s="292"/>
      <c r="H1415" s="292"/>
      <c r="I1415" s="314"/>
      <c r="J1415" s="347"/>
      <c r="K1415" s="374"/>
      <c r="L1415" s="374"/>
    </row>
    <row r="1416" spans="1:12" ht="15.75" x14ac:dyDescent="0.25">
      <c r="B1416" s="313"/>
      <c r="C1416" s="314"/>
      <c r="D1416" s="314"/>
      <c r="E1416" s="314"/>
      <c r="F1416" s="314"/>
      <c r="G1416" s="314"/>
      <c r="H1416" s="292"/>
      <c r="I1416" s="314"/>
      <c r="J1416" s="292"/>
      <c r="K1416" s="292"/>
      <c r="L1416" s="347"/>
    </row>
    <row r="1417" spans="1:12" ht="15.75" x14ac:dyDescent="0.25">
      <c r="B1417" s="313"/>
      <c r="C1417" s="314"/>
      <c r="D1417" s="314"/>
      <c r="E1417" s="314"/>
      <c r="F1417" s="314"/>
      <c r="G1417" s="314"/>
      <c r="H1417" s="292"/>
      <c r="I1417" s="314"/>
      <c r="J1417" s="292"/>
      <c r="K1417" s="292"/>
      <c r="L1417" s="347"/>
    </row>
    <row r="1418" spans="1:12" ht="15.75" x14ac:dyDescent="0.25">
      <c r="B1418" s="272"/>
      <c r="C1418" s="366"/>
      <c r="D1418" s="366"/>
      <c r="E1418" s="367"/>
      <c r="F1418" s="314"/>
      <c r="G1418" s="314"/>
      <c r="H1418" s="292"/>
      <c r="I1418" s="314"/>
      <c r="J1418" s="314"/>
      <c r="K1418" s="314"/>
      <c r="L1418" s="347"/>
    </row>
    <row r="1419" spans="1:12" x14ac:dyDescent="0.2">
      <c r="B1419" s="272"/>
      <c r="C1419" s="366"/>
      <c r="D1419" s="366"/>
      <c r="E1419" s="367"/>
      <c r="F1419" s="314"/>
      <c r="G1419" s="314"/>
      <c r="H1419" s="292"/>
    </row>
    <row r="1420" spans="1:12" x14ac:dyDescent="0.2">
      <c r="B1420" s="272"/>
      <c r="C1420" s="366"/>
      <c r="D1420" s="366"/>
      <c r="E1420" s="367"/>
      <c r="F1420" s="314"/>
      <c r="G1420" s="314"/>
      <c r="H1420" s="292"/>
    </row>
    <row r="1421" spans="1:12" x14ac:dyDescent="0.2">
      <c r="B1421" s="318"/>
      <c r="C1421" s="366"/>
      <c r="D1421" s="366"/>
      <c r="E1421" s="367"/>
      <c r="F1421" s="314"/>
      <c r="G1421" s="314"/>
      <c r="H1421" s="292"/>
    </row>
    <row r="1422" spans="1:12" x14ac:dyDescent="0.2">
      <c r="C1422" s="375"/>
      <c r="D1422" s="375"/>
      <c r="E1422" s="367"/>
      <c r="F1422" s="314"/>
      <c r="G1422" s="314"/>
      <c r="H1422" s="292"/>
    </row>
  </sheetData>
  <mergeCells count="19">
    <mergeCell ref="K791:L791"/>
    <mergeCell ref="K15:L15"/>
    <mergeCell ref="K85:L85"/>
    <mergeCell ref="K157:L157"/>
    <mergeCell ref="K228:L228"/>
    <mergeCell ref="K302:L302"/>
    <mergeCell ref="K371:L371"/>
    <mergeCell ref="K441:L441"/>
    <mergeCell ref="K510:L510"/>
    <mergeCell ref="K580:L580"/>
    <mergeCell ref="K650:L650"/>
    <mergeCell ref="K720:L720"/>
    <mergeCell ref="K1282:L1282"/>
    <mergeCell ref="K861:L861"/>
    <mergeCell ref="K932:L932"/>
    <mergeCell ref="K1003:L1003"/>
    <mergeCell ref="K1074:L1074"/>
    <mergeCell ref="K1144:L1144"/>
    <mergeCell ref="K1213:L1213"/>
  </mergeCells>
  <pageMargins left="0.56000000000000005" right="0.4" top="1" bottom="0.21" header="0.49" footer="0.5"/>
  <pageSetup scale="47" orientation="portrait" r:id="rId1"/>
  <headerFooter alignWithMargins="0">
    <oddHeader>&amp;L&amp;D</oddHeader>
    <oddFooter>&amp;R&amp;F&amp;L&amp;"Times New Roman"&amp;8REGINA#590835 - v1</oddFooter>
  </headerFooter>
  <rowBreaks count="17" manualBreakCount="17">
    <brk id="141" max="16383" man="1"/>
    <brk id="213" max="16383" man="1"/>
    <brk id="286" max="16383" man="1"/>
    <brk id="356" max="16383" man="1"/>
    <brk id="426" max="16383" man="1"/>
    <brk id="493" max="16383" man="1"/>
    <brk id="564" max="16383" man="1"/>
    <brk id="634" max="16383" man="1"/>
    <brk id="704" max="16383" man="1"/>
    <brk id="775" max="16383" man="1"/>
    <brk id="845" max="16383" man="1"/>
    <brk id="915" max="16383" man="1"/>
    <brk id="987" max="16383" man="1"/>
    <brk id="1058" max="16383" man="1"/>
    <brk id="1128" max="16383" man="1"/>
    <brk id="1198" max="16383" man="1"/>
    <brk id="126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X26"/>
  <sheetViews>
    <sheetView tabSelected="1" view="pageBreakPreview" zoomScaleNormal="100" zoomScaleSheetLayoutView="100" workbookViewId="0">
      <selection activeCell="W2" sqref="W2"/>
    </sheetView>
  </sheetViews>
  <sheetFormatPr defaultColWidth="10.25" defaultRowHeight="15" x14ac:dyDescent="0.25"/>
  <cols>
    <col min="1" max="1" width="19.25" style="125" customWidth="1"/>
    <col min="2" max="2" width="5.75" style="125" customWidth="1"/>
    <col min="3" max="3" width="10.25" style="125" customWidth="1"/>
    <col min="4" max="4" width="0.75" style="125" customWidth="1"/>
    <col min="5" max="5" width="13.375" style="125" customWidth="1"/>
    <col min="6" max="6" width="13" style="125" customWidth="1"/>
    <col min="7" max="7" width="15.75" style="125" customWidth="1"/>
    <col min="8" max="8" width="13.25" style="101" customWidth="1"/>
    <col min="9" max="9" width="14" style="125" customWidth="1"/>
    <col min="10" max="10" width="1.25" style="125" customWidth="1"/>
    <col min="11" max="15" width="2" style="221" hidden="1" customWidth="1"/>
    <col min="16" max="16" width="2.375" style="125" hidden="1" customWidth="1"/>
    <col min="17" max="18" width="12.75" style="125" customWidth="1"/>
    <col min="19" max="19" width="14.375" style="125" customWidth="1"/>
    <col min="20" max="20" width="13.375" style="125" customWidth="1"/>
    <col min="21" max="21" width="2.125" style="125" customWidth="1"/>
    <col min="22" max="22" width="12.25" style="125" bestFit="1" customWidth="1"/>
    <col min="23" max="23" width="15" style="125" customWidth="1"/>
    <col min="24" max="24" width="13.375" style="125" customWidth="1"/>
    <col min="25" max="257" width="10.25" style="125"/>
    <col min="258" max="258" width="20.125" style="125" customWidth="1"/>
    <col min="259" max="260" width="10.25" style="125" customWidth="1"/>
    <col min="261" max="261" width="12.625" style="125" bestFit="1" customWidth="1"/>
    <col min="262" max="262" width="13.25" style="125" customWidth="1"/>
    <col min="263" max="263" width="12.25" style="125" bestFit="1" customWidth="1"/>
    <col min="264" max="264" width="1.875" style="125" customWidth="1"/>
    <col min="265" max="265" width="12.625" style="125" bestFit="1" customWidth="1"/>
    <col min="266" max="266" width="10.25" style="125"/>
    <col min="267" max="267" width="12.625" style="125" bestFit="1" customWidth="1"/>
    <col min="268" max="513" width="10.25" style="125"/>
    <col min="514" max="514" width="20.125" style="125" customWidth="1"/>
    <col min="515" max="516" width="10.25" style="125" customWidth="1"/>
    <col min="517" max="517" width="12.625" style="125" bestFit="1" customWidth="1"/>
    <col min="518" max="518" width="13.25" style="125" customWidth="1"/>
    <col min="519" max="519" width="12.25" style="125" bestFit="1" customWidth="1"/>
    <col min="520" max="520" width="1.875" style="125" customWidth="1"/>
    <col min="521" max="521" width="12.625" style="125" bestFit="1" customWidth="1"/>
    <col min="522" max="522" width="10.25" style="125"/>
    <col min="523" max="523" width="12.625" style="125" bestFit="1" customWidth="1"/>
    <col min="524" max="769" width="10.25" style="125"/>
    <col min="770" max="770" width="20.125" style="125" customWidth="1"/>
    <col min="771" max="772" width="10.25" style="125" customWidth="1"/>
    <col min="773" max="773" width="12.625" style="125" bestFit="1" customWidth="1"/>
    <col min="774" max="774" width="13.25" style="125" customWidth="1"/>
    <col min="775" max="775" width="12.25" style="125" bestFit="1" customWidth="1"/>
    <col min="776" max="776" width="1.875" style="125" customWidth="1"/>
    <col min="777" max="777" width="12.625" style="125" bestFit="1" customWidth="1"/>
    <col min="778" max="778" width="10.25" style="125"/>
    <col min="779" max="779" width="12.625" style="125" bestFit="1" customWidth="1"/>
    <col min="780" max="1025" width="10.25" style="125"/>
    <col min="1026" max="1026" width="20.125" style="125" customWidth="1"/>
    <col min="1027" max="1028" width="10.25" style="125" customWidth="1"/>
    <col min="1029" max="1029" width="12.625" style="125" bestFit="1" customWidth="1"/>
    <col min="1030" max="1030" width="13.25" style="125" customWidth="1"/>
    <col min="1031" max="1031" width="12.25" style="125" bestFit="1" customWidth="1"/>
    <col min="1032" max="1032" width="1.875" style="125" customWidth="1"/>
    <col min="1033" max="1033" width="12.625" style="125" bestFit="1" customWidth="1"/>
    <col min="1034" max="1034" width="10.25" style="125"/>
    <col min="1035" max="1035" width="12.625" style="125" bestFit="1" customWidth="1"/>
    <col min="1036" max="1281" width="10.25" style="125"/>
    <col min="1282" max="1282" width="20.125" style="125" customWidth="1"/>
    <col min="1283" max="1284" width="10.25" style="125" customWidth="1"/>
    <col min="1285" max="1285" width="12.625" style="125" bestFit="1" customWidth="1"/>
    <col min="1286" max="1286" width="13.25" style="125" customWidth="1"/>
    <col min="1287" max="1287" width="12.25" style="125" bestFit="1" customWidth="1"/>
    <col min="1288" max="1288" width="1.875" style="125" customWidth="1"/>
    <col min="1289" max="1289" width="12.625" style="125" bestFit="1" customWidth="1"/>
    <col min="1290" max="1290" width="10.25" style="125"/>
    <col min="1291" max="1291" width="12.625" style="125" bestFit="1" customWidth="1"/>
    <col min="1292" max="1537" width="10.25" style="125"/>
    <col min="1538" max="1538" width="20.125" style="125" customWidth="1"/>
    <col min="1539" max="1540" width="10.25" style="125" customWidth="1"/>
    <col min="1541" max="1541" width="12.625" style="125" bestFit="1" customWidth="1"/>
    <col min="1542" max="1542" width="13.25" style="125" customWidth="1"/>
    <col min="1543" max="1543" width="12.25" style="125" bestFit="1" customWidth="1"/>
    <col min="1544" max="1544" width="1.875" style="125" customWidth="1"/>
    <col min="1545" max="1545" width="12.625" style="125" bestFit="1" customWidth="1"/>
    <col min="1546" max="1546" width="10.25" style="125"/>
    <col min="1547" max="1547" width="12.625" style="125" bestFit="1" customWidth="1"/>
    <col min="1548" max="1793" width="10.25" style="125"/>
    <col min="1794" max="1794" width="20.125" style="125" customWidth="1"/>
    <col min="1795" max="1796" width="10.25" style="125" customWidth="1"/>
    <col min="1797" max="1797" width="12.625" style="125" bestFit="1" customWidth="1"/>
    <col min="1798" max="1798" width="13.25" style="125" customWidth="1"/>
    <col min="1799" max="1799" width="12.25" style="125" bestFit="1" customWidth="1"/>
    <col min="1800" max="1800" width="1.875" style="125" customWidth="1"/>
    <col min="1801" max="1801" width="12.625" style="125" bestFit="1" customWidth="1"/>
    <col min="1802" max="1802" width="10.25" style="125"/>
    <col min="1803" max="1803" width="12.625" style="125" bestFit="1" customWidth="1"/>
    <col min="1804" max="2049" width="10.25" style="125"/>
    <col min="2050" max="2050" width="20.125" style="125" customWidth="1"/>
    <col min="2051" max="2052" width="10.25" style="125" customWidth="1"/>
    <col min="2053" max="2053" width="12.625" style="125" bestFit="1" customWidth="1"/>
    <col min="2054" max="2054" width="13.25" style="125" customWidth="1"/>
    <col min="2055" max="2055" width="12.25" style="125" bestFit="1" customWidth="1"/>
    <col min="2056" max="2056" width="1.875" style="125" customWidth="1"/>
    <col min="2057" max="2057" width="12.625" style="125" bestFit="1" customWidth="1"/>
    <col min="2058" max="2058" width="10.25" style="125"/>
    <col min="2059" max="2059" width="12.625" style="125" bestFit="1" customWidth="1"/>
    <col min="2060" max="2305" width="10.25" style="125"/>
    <col min="2306" max="2306" width="20.125" style="125" customWidth="1"/>
    <col min="2307" max="2308" width="10.25" style="125" customWidth="1"/>
    <col min="2309" max="2309" width="12.625" style="125" bestFit="1" customWidth="1"/>
    <col min="2310" max="2310" width="13.25" style="125" customWidth="1"/>
    <col min="2311" max="2311" width="12.25" style="125" bestFit="1" customWidth="1"/>
    <col min="2312" max="2312" width="1.875" style="125" customWidth="1"/>
    <col min="2313" max="2313" width="12.625" style="125" bestFit="1" customWidth="1"/>
    <col min="2314" max="2314" width="10.25" style="125"/>
    <col min="2315" max="2315" width="12.625" style="125" bestFit="1" customWidth="1"/>
    <col min="2316" max="2561" width="10.25" style="125"/>
    <col min="2562" max="2562" width="20.125" style="125" customWidth="1"/>
    <col min="2563" max="2564" width="10.25" style="125" customWidth="1"/>
    <col min="2565" max="2565" width="12.625" style="125" bestFit="1" customWidth="1"/>
    <col min="2566" max="2566" width="13.25" style="125" customWidth="1"/>
    <col min="2567" max="2567" width="12.25" style="125" bestFit="1" customWidth="1"/>
    <col min="2568" max="2568" width="1.875" style="125" customWidth="1"/>
    <col min="2569" max="2569" width="12.625" style="125" bestFit="1" customWidth="1"/>
    <col min="2570" max="2570" width="10.25" style="125"/>
    <col min="2571" max="2571" width="12.625" style="125" bestFit="1" customWidth="1"/>
    <col min="2572" max="2817" width="10.25" style="125"/>
    <col min="2818" max="2818" width="20.125" style="125" customWidth="1"/>
    <col min="2819" max="2820" width="10.25" style="125" customWidth="1"/>
    <col min="2821" max="2821" width="12.625" style="125" bestFit="1" customWidth="1"/>
    <col min="2822" max="2822" width="13.25" style="125" customWidth="1"/>
    <col min="2823" max="2823" width="12.25" style="125" bestFit="1" customWidth="1"/>
    <col min="2824" max="2824" width="1.875" style="125" customWidth="1"/>
    <col min="2825" max="2825" width="12.625" style="125" bestFit="1" customWidth="1"/>
    <col min="2826" max="2826" width="10.25" style="125"/>
    <col min="2827" max="2827" width="12.625" style="125" bestFit="1" customWidth="1"/>
    <col min="2828" max="3073" width="10.25" style="125"/>
    <col min="3074" max="3074" width="20.125" style="125" customWidth="1"/>
    <col min="3075" max="3076" width="10.25" style="125" customWidth="1"/>
    <col min="3077" max="3077" width="12.625" style="125" bestFit="1" customWidth="1"/>
    <col min="3078" max="3078" width="13.25" style="125" customWidth="1"/>
    <col min="3079" max="3079" width="12.25" style="125" bestFit="1" customWidth="1"/>
    <col min="3080" max="3080" width="1.875" style="125" customWidth="1"/>
    <col min="3081" max="3081" width="12.625" style="125" bestFit="1" customWidth="1"/>
    <col min="3082" max="3082" width="10.25" style="125"/>
    <col min="3083" max="3083" width="12.625" style="125" bestFit="1" customWidth="1"/>
    <col min="3084" max="3329" width="10.25" style="125"/>
    <col min="3330" max="3330" width="20.125" style="125" customWidth="1"/>
    <col min="3331" max="3332" width="10.25" style="125" customWidth="1"/>
    <col min="3333" max="3333" width="12.625" style="125" bestFit="1" customWidth="1"/>
    <col min="3334" max="3334" width="13.25" style="125" customWidth="1"/>
    <col min="3335" max="3335" width="12.25" style="125" bestFit="1" customWidth="1"/>
    <col min="3336" max="3336" width="1.875" style="125" customWidth="1"/>
    <col min="3337" max="3337" width="12.625" style="125" bestFit="1" customWidth="1"/>
    <col min="3338" max="3338" width="10.25" style="125"/>
    <col min="3339" max="3339" width="12.625" style="125" bestFit="1" customWidth="1"/>
    <col min="3340" max="3585" width="10.25" style="125"/>
    <col min="3586" max="3586" width="20.125" style="125" customWidth="1"/>
    <col min="3587" max="3588" width="10.25" style="125" customWidth="1"/>
    <col min="3589" max="3589" width="12.625" style="125" bestFit="1" customWidth="1"/>
    <col min="3590" max="3590" width="13.25" style="125" customWidth="1"/>
    <col min="3591" max="3591" width="12.25" style="125" bestFit="1" customWidth="1"/>
    <col min="3592" max="3592" width="1.875" style="125" customWidth="1"/>
    <col min="3593" max="3593" width="12.625" style="125" bestFit="1" customWidth="1"/>
    <col min="3594" max="3594" width="10.25" style="125"/>
    <col min="3595" max="3595" width="12.625" style="125" bestFit="1" customWidth="1"/>
    <col min="3596" max="3841" width="10.25" style="125"/>
    <col min="3842" max="3842" width="20.125" style="125" customWidth="1"/>
    <col min="3843" max="3844" width="10.25" style="125" customWidth="1"/>
    <col min="3845" max="3845" width="12.625" style="125" bestFit="1" customWidth="1"/>
    <col min="3846" max="3846" width="13.25" style="125" customWidth="1"/>
    <col min="3847" max="3847" width="12.25" style="125" bestFit="1" customWidth="1"/>
    <col min="3848" max="3848" width="1.875" style="125" customWidth="1"/>
    <col min="3849" max="3849" width="12.625" style="125" bestFit="1" customWidth="1"/>
    <col min="3850" max="3850" width="10.25" style="125"/>
    <col min="3851" max="3851" width="12.625" style="125" bestFit="1" customWidth="1"/>
    <col min="3852" max="4097" width="10.25" style="125"/>
    <col min="4098" max="4098" width="20.125" style="125" customWidth="1"/>
    <col min="4099" max="4100" width="10.25" style="125" customWidth="1"/>
    <col min="4101" max="4101" width="12.625" style="125" bestFit="1" customWidth="1"/>
    <col min="4102" max="4102" width="13.25" style="125" customWidth="1"/>
    <col min="4103" max="4103" width="12.25" style="125" bestFit="1" customWidth="1"/>
    <col min="4104" max="4104" width="1.875" style="125" customWidth="1"/>
    <col min="4105" max="4105" width="12.625" style="125" bestFit="1" customWidth="1"/>
    <col min="4106" max="4106" width="10.25" style="125"/>
    <col min="4107" max="4107" width="12.625" style="125" bestFit="1" customWidth="1"/>
    <col min="4108" max="4353" width="10.25" style="125"/>
    <col min="4354" max="4354" width="20.125" style="125" customWidth="1"/>
    <col min="4355" max="4356" width="10.25" style="125" customWidth="1"/>
    <col min="4357" max="4357" width="12.625" style="125" bestFit="1" customWidth="1"/>
    <col min="4358" max="4358" width="13.25" style="125" customWidth="1"/>
    <col min="4359" max="4359" width="12.25" style="125" bestFit="1" customWidth="1"/>
    <col min="4360" max="4360" width="1.875" style="125" customWidth="1"/>
    <col min="4361" max="4361" width="12.625" style="125" bestFit="1" customWidth="1"/>
    <col min="4362" max="4362" width="10.25" style="125"/>
    <col min="4363" max="4363" width="12.625" style="125" bestFit="1" customWidth="1"/>
    <col min="4364" max="4609" width="10.25" style="125"/>
    <col min="4610" max="4610" width="20.125" style="125" customWidth="1"/>
    <col min="4611" max="4612" width="10.25" style="125" customWidth="1"/>
    <col min="4613" max="4613" width="12.625" style="125" bestFit="1" customWidth="1"/>
    <col min="4614" max="4614" width="13.25" style="125" customWidth="1"/>
    <col min="4615" max="4615" width="12.25" style="125" bestFit="1" customWidth="1"/>
    <col min="4616" max="4616" width="1.875" style="125" customWidth="1"/>
    <col min="4617" max="4617" width="12.625" style="125" bestFit="1" customWidth="1"/>
    <col min="4618" max="4618" width="10.25" style="125"/>
    <col min="4619" max="4619" width="12.625" style="125" bestFit="1" customWidth="1"/>
    <col min="4620" max="4865" width="10.25" style="125"/>
    <col min="4866" max="4866" width="20.125" style="125" customWidth="1"/>
    <col min="4867" max="4868" width="10.25" style="125" customWidth="1"/>
    <col min="4869" max="4869" width="12.625" style="125" bestFit="1" customWidth="1"/>
    <col min="4870" max="4870" width="13.25" style="125" customWidth="1"/>
    <col min="4871" max="4871" width="12.25" style="125" bestFit="1" customWidth="1"/>
    <col min="4872" max="4872" width="1.875" style="125" customWidth="1"/>
    <col min="4873" max="4873" width="12.625" style="125" bestFit="1" customWidth="1"/>
    <col min="4874" max="4874" width="10.25" style="125"/>
    <col min="4875" max="4875" width="12.625" style="125" bestFit="1" customWidth="1"/>
    <col min="4876" max="5121" width="10.25" style="125"/>
    <col min="5122" max="5122" width="20.125" style="125" customWidth="1"/>
    <col min="5123" max="5124" width="10.25" style="125" customWidth="1"/>
    <col min="5125" max="5125" width="12.625" style="125" bestFit="1" customWidth="1"/>
    <col min="5126" max="5126" width="13.25" style="125" customWidth="1"/>
    <col min="5127" max="5127" width="12.25" style="125" bestFit="1" customWidth="1"/>
    <col min="5128" max="5128" width="1.875" style="125" customWidth="1"/>
    <col min="5129" max="5129" width="12.625" style="125" bestFit="1" customWidth="1"/>
    <col min="5130" max="5130" width="10.25" style="125"/>
    <col min="5131" max="5131" width="12.625" style="125" bestFit="1" customWidth="1"/>
    <col min="5132" max="5377" width="10.25" style="125"/>
    <col min="5378" max="5378" width="20.125" style="125" customWidth="1"/>
    <col min="5379" max="5380" width="10.25" style="125" customWidth="1"/>
    <col min="5381" max="5381" width="12.625" style="125" bestFit="1" customWidth="1"/>
    <col min="5382" max="5382" width="13.25" style="125" customWidth="1"/>
    <col min="5383" max="5383" width="12.25" style="125" bestFit="1" customWidth="1"/>
    <col min="5384" max="5384" width="1.875" style="125" customWidth="1"/>
    <col min="5385" max="5385" width="12.625" style="125" bestFit="1" customWidth="1"/>
    <col min="5386" max="5386" width="10.25" style="125"/>
    <col min="5387" max="5387" width="12.625" style="125" bestFit="1" customWidth="1"/>
    <col min="5388" max="5633" width="10.25" style="125"/>
    <col min="5634" max="5634" width="20.125" style="125" customWidth="1"/>
    <col min="5635" max="5636" width="10.25" style="125" customWidth="1"/>
    <col min="5637" max="5637" width="12.625" style="125" bestFit="1" customWidth="1"/>
    <col min="5638" max="5638" width="13.25" style="125" customWidth="1"/>
    <col min="5639" max="5639" width="12.25" style="125" bestFit="1" customWidth="1"/>
    <col min="5640" max="5640" width="1.875" style="125" customWidth="1"/>
    <col min="5641" max="5641" width="12.625" style="125" bestFit="1" customWidth="1"/>
    <col min="5642" max="5642" width="10.25" style="125"/>
    <col min="5643" max="5643" width="12.625" style="125" bestFit="1" customWidth="1"/>
    <col min="5644" max="5889" width="10.25" style="125"/>
    <col min="5890" max="5890" width="20.125" style="125" customWidth="1"/>
    <col min="5891" max="5892" width="10.25" style="125" customWidth="1"/>
    <col min="5893" max="5893" width="12.625" style="125" bestFit="1" customWidth="1"/>
    <col min="5894" max="5894" width="13.25" style="125" customWidth="1"/>
    <col min="5895" max="5895" width="12.25" style="125" bestFit="1" customWidth="1"/>
    <col min="5896" max="5896" width="1.875" style="125" customWidth="1"/>
    <col min="5897" max="5897" width="12.625" style="125" bestFit="1" customWidth="1"/>
    <col min="5898" max="5898" width="10.25" style="125"/>
    <col min="5899" max="5899" width="12.625" style="125" bestFit="1" customWidth="1"/>
    <col min="5900" max="6145" width="10.25" style="125"/>
    <col min="6146" max="6146" width="20.125" style="125" customWidth="1"/>
    <col min="6147" max="6148" width="10.25" style="125" customWidth="1"/>
    <col min="6149" max="6149" width="12.625" style="125" bestFit="1" customWidth="1"/>
    <col min="6150" max="6150" width="13.25" style="125" customWidth="1"/>
    <col min="6151" max="6151" width="12.25" style="125" bestFit="1" customWidth="1"/>
    <col min="6152" max="6152" width="1.875" style="125" customWidth="1"/>
    <col min="6153" max="6153" width="12.625" style="125" bestFit="1" customWidth="1"/>
    <col min="6154" max="6154" width="10.25" style="125"/>
    <col min="6155" max="6155" width="12.625" style="125" bestFit="1" customWidth="1"/>
    <col min="6156" max="6401" width="10.25" style="125"/>
    <col min="6402" max="6402" width="20.125" style="125" customWidth="1"/>
    <col min="6403" max="6404" width="10.25" style="125" customWidth="1"/>
    <col min="6405" max="6405" width="12.625" style="125" bestFit="1" customWidth="1"/>
    <col min="6406" max="6406" width="13.25" style="125" customWidth="1"/>
    <col min="6407" max="6407" width="12.25" style="125" bestFit="1" customWidth="1"/>
    <col min="6408" max="6408" width="1.875" style="125" customWidth="1"/>
    <col min="6409" max="6409" width="12.625" style="125" bestFit="1" customWidth="1"/>
    <col min="6410" max="6410" width="10.25" style="125"/>
    <col min="6411" max="6411" width="12.625" style="125" bestFit="1" customWidth="1"/>
    <col min="6412" max="6657" width="10.25" style="125"/>
    <col min="6658" max="6658" width="20.125" style="125" customWidth="1"/>
    <col min="6659" max="6660" width="10.25" style="125" customWidth="1"/>
    <col min="6661" max="6661" width="12.625" style="125" bestFit="1" customWidth="1"/>
    <col min="6662" max="6662" width="13.25" style="125" customWidth="1"/>
    <col min="6663" max="6663" width="12.25" style="125" bestFit="1" customWidth="1"/>
    <col min="6664" max="6664" width="1.875" style="125" customWidth="1"/>
    <col min="6665" max="6665" width="12.625" style="125" bestFit="1" customWidth="1"/>
    <col min="6666" max="6666" width="10.25" style="125"/>
    <col min="6667" max="6667" width="12.625" style="125" bestFit="1" customWidth="1"/>
    <col min="6668" max="6913" width="10.25" style="125"/>
    <col min="6914" max="6914" width="20.125" style="125" customWidth="1"/>
    <col min="6915" max="6916" width="10.25" style="125" customWidth="1"/>
    <col min="6917" max="6917" width="12.625" style="125" bestFit="1" customWidth="1"/>
    <col min="6918" max="6918" width="13.25" style="125" customWidth="1"/>
    <col min="6919" max="6919" width="12.25" style="125" bestFit="1" customWidth="1"/>
    <col min="6920" max="6920" width="1.875" style="125" customWidth="1"/>
    <col min="6921" max="6921" width="12.625" style="125" bestFit="1" customWidth="1"/>
    <col min="6922" max="6922" width="10.25" style="125"/>
    <col min="6923" max="6923" width="12.625" style="125" bestFit="1" customWidth="1"/>
    <col min="6924" max="7169" width="10.25" style="125"/>
    <col min="7170" max="7170" width="20.125" style="125" customWidth="1"/>
    <col min="7171" max="7172" width="10.25" style="125" customWidth="1"/>
    <col min="7173" max="7173" width="12.625" style="125" bestFit="1" customWidth="1"/>
    <col min="7174" max="7174" width="13.25" style="125" customWidth="1"/>
    <col min="7175" max="7175" width="12.25" style="125" bestFit="1" customWidth="1"/>
    <col min="7176" max="7176" width="1.875" style="125" customWidth="1"/>
    <col min="7177" max="7177" width="12.625" style="125" bestFit="1" customWidth="1"/>
    <col min="7178" max="7178" width="10.25" style="125"/>
    <col min="7179" max="7179" width="12.625" style="125" bestFit="1" customWidth="1"/>
    <col min="7180" max="7425" width="10.25" style="125"/>
    <col min="7426" max="7426" width="20.125" style="125" customWidth="1"/>
    <col min="7427" max="7428" width="10.25" style="125" customWidth="1"/>
    <col min="7429" max="7429" width="12.625" style="125" bestFit="1" customWidth="1"/>
    <col min="7430" max="7430" width="13.25" style="125" customWidth="1"/>
    <col min="7431" max="7431" width="12.25" style="125" bestFit="1" customWidth="1"/>
    <col min="7432" max="7432" width="1.875" style="125" customWidth="1"/>
    <col min="7433" max="7433" width="12.625" style="125" bestFit="1" customWidth="1"/>
    <col min="7434" max="7434" width="10.25" style="125"/>
    <col min="7435" max="7435" width="12.625" style="125" bestFit="1" customWidth="1"/>
    <col min="7436" max="7681" width="10.25" style="125"/>
    <col min="7682" max="7682" width="20.125" style="125" customWidth="1"/>
    <col min="7683" max="7684" width="10.25" style="125" customWidth="1"/>
    <col min="7685" max="7685" width="12.625" style="125" bestFit="1" customWidth="1"/>
    <col min="7686" max="7686" width="13.25" style="125" customWidth="1"/>
    <col min="7687" max="7687" width="12.25" style="125" bestFit="1" customWidth="1"/>
    <col min="7688" max="7688" width="1.875" style="125" customWidth="1"/>
    <col min="7689" max="7689" width="12.625" style="125" bestFit="1" customWidth="1"/>
    <col min="7690" max="7690" width="10.25" style="125"/>
    <col min="7691" max="7691" width="12.625" style="125" bestFit="1" customWidth="1"/>
    <col min="7692" max="7937" width="10.25" style="125"/>
    <col min="7938" max="7938" width="20.125" style="125" customWidth="1"/>
    <col min="7939" max="7940" width="10.25" style="125" customWidth="1"/>
    <col min="7941" max="7941" width="12.625" style="125" bestFit="1" customWidth="1"/>
    <col min="7942" max="7942" width="13.25" style="125" customWidth="1"/>
    <col min="7943" max="7943" width="12.25" style="125" bestFit="1" customWidth="1"/>
    <col min="7944" max="7944" width="1.875" style="125" customWidth="1"/>
    <col min="7945" max="7945" width="12.625" style="125" bestFit="1" customWidth="1"/>
    <col min="7946" max="7946" width="10.25" style="125"/>
    <col min="7947" max="7947" width="12.625" style="125" bestFit="1" customWidth="1"/>
    <col min="7948" max="8193" width="10.25" style="125"/>
    <col min="8194" max="8194" width="20.125" style="125" customWidth="1"/>
    <col min="8195" max="8196" width="10.25" style="125" customWidth="1"/>
    <col min="8197" max="8197" width="12.625" style="125" bestFit="1" customWidth="1"/>
    <col min="8198" max="8198" width="13.25" style="125" customWidth="1"/>
    <col min="8199" max="8199" width="12.25" style="125" bestFit="1" customWidth="1"/>
    <col min="8200" max="8200" width="1.875" style="125" customWidth="1"/>
    <col min="8201" max="8201" width="12.625" style="125" bestFit="1" customWidth="1"/>
    <col min="8202" max="8202" width="10.25" style="125"/>
    <col min="8203" max="8203" width="12.625" style="125" bestFit="1" customWidth="1"/>
    <col min="8204" max="8449" width="10.25" style="125"/>
    <col min="8450" max="8450" width="20.125" style="125" customWidth="1"/>
    <col min="8451" max="8452" width="10.25" style="125" customWidth="1"/>
    <col min="8453" max="8453" width="12.625" style="125" bestFit="1" customWidth="1"/>
    <col min="8454" max="8454" width="13.25" style="125" customWidth="1"/>
    <col min="8455" max="8455" width="12.25" style="125" bestFit="1" customWidth="1"/>
    <col min="8456" max="8456" width="1.875" style="125" customWidth="1"/>
    <col min="8457" max="8457" width="12.625" style="125" bestFit="1" customWidth="1"/>
    <col min="8458" max="8458" width="10.25" style="125"/>
    <col min="8459" max="8459" width="12.625" style="125" bestFit="1" customWidth="1"/>
    <col min="8460" max="8705" width="10.25" style="125"/>
    <col min="8706" max="8706" width="20.125" style="125" customWidth="1"/>
    <col min="8707" max="8708" width="10.25" style="125" customWidth="1"/>
    <col min="8709" max="8709" width="12.625" style="125" bestFit="1" customWidth="1"/>
    <col min="8710" max="8710" width="13.25" style="125" customWidth="1"/>
    <col min="8711" max="8711" width="12.25" style="125" bestFit="1" customWidth="1"/>
    <col min="8712" max="8712" width="1.875" style="125" customWidth="1"/>
    <col min="8713" max="8713" width="12.625" style="125" bestFit="1" customWidth="1"/>
    <col min="8714" max="8714" width="10.25" style="125"/>
    <col min="8715" max="8715" width="12.625" style="125" bestFit="1" customWidth="1"/>
    <col min="8716" max="8961" width="10.25" style="125"/>
    <col min="8962" max="8962" width="20.125" style="125" customWidth="1"/>
    <col min="8963" max="8964" width="10.25" style="125" customWidth="1"/>
    <col min="8965" max="8965" width="12.625" style="125" bestFit="1" customWidth="1"/>
    <col min="8966" max="8966" width="13.25" style="125" customWidth="1"/>
    <col min="8967" max="8967" width="12.25" style="125" bestFit="1" customWidth="1"/>
    <col min="8968" max="8968" width="1.875" style="125" customWidth="1"/>
    <col min="8969" max="8969" width="12.625" style="125" bestFit="1" customWidth="1"/>
    <col min="8970" max="8970" width="10.25" style="125"/>
    <col min="8971" max="8971" width="12.625" style="125" bestFit="1" customWidth="1"/>
    <col min="8972" max="9217" width="10.25" style="125"/>
    <col min="9218" max="9218" width="20.125" style="125" customWidth="1"/>
    <col min="9219" max="9220" width="10.25" style="125" customWidth="1"/>
    <col min="9221" max="9221" width="12.625" style="125" bestFit="1" customWidth="1"/>
    <col min="9222" max="9222" width="13.25" style="125" customWidth="1"/>
    <col min="9223" max="9223" width="12.25" style="125" bestFit="1" customWidth="1"/>
    <col min="9224" max="9224" width="1.875" style="125" customWidth="1"/>
    <col min="9225" max="9225" width="12.625" style="125" bestFit="1" customWidth="1"/>
    <col min="9226" max="9226" width="10.25" style="125"/>
    <col min="9227" max="9227" width="12.625" style="125" bestFit="1" customWidth="1"/>
    <col min="9228" max="9473" width="10.25" style="125"/>
    <col min="9474" max="9474" width="20.125" style="125" customWidth="1"/>
    <col min="9475" max="9476" width="10.25" style="125" customWidth="1"/>
    <col min="9477" max="9477" width="12.625" style="125" bestFit="1" customWidth="1"/>
    <col min="9478" max="9478" width="13.25" style="125" customWidth="1"/>
    <col min="9479" max="9479" width="12.25" style="125" bestFit="1" customWidth="1"/>
    <col min="9480" max="9480" width="1.875" style="125" customWidth="1"/>
    <col min="9481" max="9481" width="12.625" style="125" bestFit="1" customWidth="1"/>
    <col min="9482" max="9482" width="10.25" style="125"/>
    <col min="9483" max="9483" width="12.625" style="125" bestFit="1" customWidth="1"/>
    <col min="9484" max="9729" width="10.25" style="125"/>
    <col min="9730" max="9730" width="20.125" style="125" customWidth="1"/>
    <col min="9731" max="9732" width="10.25" style="125" customWidth="1"/>
    <col min="9733" max="9733" width="12.625" style="125" bestFit="1" customWidth="1"/>
    <col min="9734" max="9734" width="13.25" style="125" customWidth="1"/>
    <col min="9735" max="9735" width="12.25" style="125" bestFit="1" customWidth="1"/>
    <col min="9736" max="9736" width="1.875" style="125" customWidth="1"/>
    <col min="9737" max="9737" width="12.625" style="125" bestFit="1" customWidth="1"/>
    <col min="9738" max="9738" width="10.25" style="125"/>
    <col min="9739" max="9739" width="12.625" style="125" bestFit="1" customWidth="1"/>
    <col min="9740" max="9985" width="10.25" style="125"/>
    <col min="9986" max="9986" width="20.125" style="125" customWidth="1"/>
    <col min="9987" max="9988" width="10.25" style="125" customWidth="1"/>
    <col min="9989" max="9989" width="12.625" style="125" bestFit="1" customWidth="1"/>
    <col min="9990" max="9990" width="13.25" style="125" customWidth="1"/>
    <col min="9991" max="9991" width="12.25" style="125" bestFit="1" customWidth="1"/>
    <col min="9992" max="9992" width="1.875" style="125" customWidth="1"/>
    <col min="9993" max="9993" width="12.625" style="125" bestFit="1" customWidth="1"/>
    <col min="9994" max="9994" width="10.25" style="125"/>
    <col min="9995" max="9995" width="12.625" style="125" bestFit="1" customWidth="1"/>
    <col min="9996" max="10241" width="10.25" style="125"/>
    <col min="10242" max="10242" width="20.125" style="125" customWidth="1"/>
    <col min="10243" max="10244" width="10.25" style="125" customWidth="1"/>
    <col min="10245" max="10245" width="12.625" style="125" bestFit="1" customWidth="1"/>
    <col min="10246" max="10246" width="13.25" style="125" customWidth="1"/>
    <col min="10247" max="10247" width="12.25" style="125" bestFit="1" customWidth="1"/>
    <col min="10248" max="10248" width="1.875" style="125" customWidth="1"/>
    <col min="10249" max="10249" width="12.625" style="125" bestFit="1" customWidth="1"/>
    <col min="10250" max="10250" width="10.25" style="125"/>
    <col min="10251" max="10251" width="12.625" style="125" bestFit="1" customWidth="1"/>
    <col min="10252" max="10497" width="10.25" style="125"/>
    <col min="10498" max="10498" width="20.125" style="125" customWidth="1"/>
    <col min="10499" max="10500" width="10.25" style="125" customWidth="1"/>
    <col min="10501" max="10501" width="12.625" style="125" bestFit="1" customWidth="1"/>
    <col min="10502" max="10502" width="13.25" style="125" customWidth="1"/>
    <col min="10503" max="10503" width="12.25" style="125" bestFit="1" customWidth="1"/>
    <col min="10504" max="10504" width="1.875" style="125" customWidth="1"/>
    <col min="10505" max="10505" width="12.625" style="125" bestFit="1" customWidth="1"/>
    <col min="10506" max="10506" width="10.25" style="125"/>
    <col min="10507" max="10507" width="12.625" style="125" bestFit="1" customWidth="1"/>
    <col min="10508" max="10753" width="10.25" style="125"/>
    <col min="10754" max="10754" width="20.125" style="125" customWidth="1"/>
    <col min="10755" max="10756" width="10.25" style="125" customWidth="1"/>
    <col min="10757" max="10757" width="12.625" style="125" bestFit="1" customWidth="1"/>
    <col min="10758" max="10758" width="13.25" style="125" customWidth="1"/>
    <col min="10759" max="10759" width="12.25" style="125" bestFit="1" customWidth="1"/>
    <col min="10760" max="10760" width="1.875" style="125" customWidth="1"/>
    <col min="10761" max="10761" width="12.625" style="125" bestFit="1" customWidth="1"/>
    <col min="10762" max="10762" width="10.25" style="125"/>
    <col min="10763" max="10763" width="12.625" style="125" bestFit="1" customWidth="1"/>
    <col min="10764" max="11009" width="10.25" style="125"/>
    <col min="11010" max="11010" width="20.125" style="125" customWidth="1"/>
    <col min="11011" max="11012" width="10.25" style="125" customWidth="1"/>
    <col min="11013" max="11013" width="12.625" style="125" bestFit="1" customWidth="1"/>
    <col min="11014" max="11014" width="13.25" style="125" customWidth="1"/>
    <col min="11015" max="11015" width="12.25" style="125" bestFit="1" customWidth="1"/>
    <col min="11016" max="11016" width="1.875" style="125" customWidth="1"/>
    <col min="11017" max="11017" width="12.625" style="125" bestFit="1" customWidth="1"/>
    <col min="11018" max="11018" width="10.25" style="125"/>
    <col min="11019" max="11019" width="12.625" style="125" bestFit="1" customWidth="1"/>
    <col min="11020" max="11265" width="10.25" style="125"/>
    <col min="11266" max="11266" width="20.125" style="125" customWidth="1"/>
    <col min="11267" max="11268" width="10.25" style="125" customWidth="1"/>
    <col min="11269" max="11269" width="12.625" style="125" bestFit="1" customWidth="1"/>
    <col min="11270" max="11270" width="13.25" style="125" customWidth="1"/>
    <col min="11271" max="11271" width="12.25" style="125" bestFit="1" customWidth="1"/>
    <col min="11272" max="11272" width="1.875" style="125" customWidth="1"/>
    <col min="11273" max="11273" width="12.625" style="125" bestFit="1" customWidth="1"/>
    <col min="11274" max="11274" width="10.25" style="125"/>
    <col min="11275" max="11275" width="12.625" style="125" bestFit="1" customWidth="1"/>
    <col min="11276" max="11521" width="10.25" style="125"/>
    <col min="11522" max="11522" width="20.125" style="125" customWidth="1"/>
    <col min="11523" max="11524" width="10.25" style="125" customWidth="1"/>
    <col min="11525" max="11525" width="12.625" style="125" bestFit="1" customWidth="1"/>
    <col min="11526" max="11526" width="13.25" style="125" customWidth="1"/>
    <col min="11527" max="11527" width="12.25" style="125" bestFit="1" customWidth="1"/>
    <col min="11528" max="11528" width="1.875" style="125" customWidth="1"/>
    <col min="11529" max="11529" width="12.625" style="125" bestFit="1" customWidth="1"/>
    <col min="11530" max="11530" width="10.25" style="125"/>
    <col min="11531" max="11531" width="12.625" style="125" bestFit="1" customWidth="1"/>
    <col min="11532" max="11777" width="10.25" style="125"/>
    <col min="11778" max="11778" width="20.125" style="125" customWidth="1"/>
    <col min="11779" max="11780" width="10.25" style="125" customWidth="1"/>
    <col min="11781" max="11781" width="12.625" style="125" bestFit="1" customWidth="1"/>
    <col min="11782" max="11782" width="13.25" style="125" customWidth="1"/>
    <col min="11783" max="11783" width="12.25" style="125" bestFit="1" customWidth="1"/>
    <col min="11784" max="11784" width="1.875" style="125" customWidth="1"/>
    <col min="11785" max="11785" width="12.625" style="125" bestFit="1" customWidth="1"/>
    <col min="11786" max="11786" width="10.25" style="125"/>
    <col min="11787" max="11787" width="12.625" style="125" bestFit="1" customWidth="1"/>
    <col min="11788" max="12033" width="10.25" style="125"/>
    <col min="12034" max="12034" width="20.125" style="125" customWidth="1"/>
    <col min="12035" max="12036" width="10.25" style="125" customWidth="1"/>
    <col min="12037" max="12037" width="12.625" style="125" bestFit="1" customWidth="1"/>
    <col min="12038" max="12038" width="13.25" style="125" customWidth="1"/>
    <col min="12039" max="12039" width="12.25" style="125" bestFit="1" customWidth="1"/>
    <col min="12040" max="12040" width="1.875" style="125" customWidth="1"/>
    <col min="12041" max="12041" width="12.625" style="125" bestFit="1" customWidth="1"/>
    <col min="12042" max="12042" width="10.25" style="125"/>
    <col min="12043" max="12043" width="12.625" style="125" bestFit="1" customWidth="1"/>
    <col min="12044" max="12289" width="10.25" style="125"/>
    <col min="12290" max="12290" width="20.125" style="125" customWidth="1"/>
    <col min="12291" max="12292" width="10.25" style="125" customWidth="1"/>
    <col min="12293" max="12293" width="12.625" style="125" bestFit="1" customWidth="1"/>
    <col min="12294" max="12294" width="13.25" style="125" customWidth="1"/>
    <col min="12295" max="12295" width="12.25" style="125" bestFit="1" customWidth="1"/>
    <col min="12296" max="12296" width="1.875" style="125" customWidth="1"/>
    <col min="12297" max="12297" width="12.625" style="125" bestFit="1" customWidth="1"/>
    <col min="12298" max="12298" width="10.25" style="125"/>
    <col min="12299" max="12299" width="12.625" style="125" bestFit="1" customWidth="1"/>
    <col min="12300" max="12545" width="10.25" style="125"/>
    <col min="12546" max="12546" width="20.125" style="125" customWidth="1"/>
    <col min="12547" max="12548" width="10.25" style="125" customWidth="1"/>
    <col min="12549" max="12549" width="12.625" style="125" bestFit="1" customWidth="1"/>
    <col min="12550" max="12550" width="13.25" style="125" customWidth="1"/>
    <col min="12551" max="12551" width="12.25" style="125" bestFit="1" customWidth="1"/>
    <col min="12552" max="12552" width="1.875" style="125" customWidth="1"/>
    <col min="12553" max="12553" width="12.625" style="125" bestFit="1" customWidth="1"/>
    <col min="12554" max="12554" width="10.25" style="125"/>
    <col min="12555" max="12555" width="12.625" style="125" bestFit="1" customWidth="1"/>
    <col min="12556" max="12801" width="10.25" style="125"/>
    <col min="12802" max="12802" width="20.125" style="125" customWidth="1"/>
    <col min="12803" max="12804" width="10.25" style="125" customWidth="1"/>
    <col min="12805" max="12805" width="12.625" style="125" bestFit="1" customWidth="1"/>
    <col min="12806" max="12806" width="13.25" style="125" customWidth="1"/>
    <col min="12807" max="12807" width="12.25" style="125" bestFit="1" customWidth="1"/>
    <col min="12808" max="12808" width="1.875" style="125" customWidth="1"/>
    <col min="12809" max="12809" width="12.625" style="125" bestFit="1" customWidth="1"/>
    <col min="12810" max="12810" width="10.25" style="125"/>
    <col min="12811" max="12811" width="12.625" style="125" bestFit="1" customWidth="1"/>
    <col min="12812" max="13057" width="10.25" style="125"/>
    <col min="13058" max="13058" width="20.125" style="125" customWidth="1"/>
    <col min="13059" max="13060" width="10.25" style="125" customWidth="1"/>
    <col min="13061" max="13061" width="12.625" style="125" bestFit="1" customWidth="1"/>
    <col min="13062" max="13062" width="13.25" style="125" customWidth="1"/>
    <col min="13063" max="13063" width="12.25" style="125" bestFit="1" customWidth="1"/>
    <col min="13064" max="13064" width="1.875" style="125" customWidth="1"/>
    <col min="13065" max="13065" width="12.625" style="125" bestFit="1" customWidth="1"/>
    <col min="13066" max="13066" width="10.25" style="125"/>
    <col min="13067" max="13067" width="12.625" style="125" bestFit="1" customWidth="1"/>
    <col min="13068" max="13313" width="10.25" style="125"/>
    <col min="13314" max="13314" width="20.125" style="125" customWidth="1"/>
    <col min="13315" max="13316" width="10.25" style="125" customWidth="1"/>
    <col min="13317" max="13317" width="12.625" style="125" bestFit="1" customWidth="1"/>
    <col min="13318" max="13318" width="13.25" style="125" customWidth="1"/>
    <col min="13319" max="13319" width="12.25" style="125" bestFit="1" customWidth="1"/>
    <col min="13320" max="13320" width="1.875" style="125" customWidth="1"/>
    <col min="13321" max="13321" width="12.625" style="125" bestFit="1" customWidth="1"/>
    <col min="13322" max="13322" width="10.25" style="125"/>
    <col min="13323" max="13323" width="12.625" style="125" bestFit="1" customWidth="1"/>
    <col min="13324" max="13569" width="10.25" style="125"/>
    <col min="13570" max="13570" width="20.125" style="125" customWidth="1"/>
    <col min="13571" max="13572" width="10.25" style="125" customWidth="1"/>
    <col min="13573" max="13573" width="12.625" style="125" bestFit="1" customWidth="1"/>
    <col min="13574" max="13574" width="13.25" style="125" customWidth="1"/>
    <col min="13575" max="13575" width="12.25" style="125" bestFit="1" customWidth="1"/>
    <col min="13576" max="13576" width="1.875" style="125" customWidth="1"/>
    <col min="13577" max="13577" width="12.625" style="125" bestFit="1" customWidth="1"/>
    <col min="13578" max="13578" width="10.25" style="125"/>
    <col min="13579" max="13579" width="12.625" style="125" bestFit="1" customWidth="1"/>
    <col min="13580" max="13825" width="10.25" style="125"/>
    <col min="13826" max="13826" width="20.125" style="125" customWidth="1"/>
    <col min="13827" max="13828" width="10.25" style="125" customWidth="1"/>
    <col min="13829" max="13829" width="12.625" style="125" bestFit="1" customWidth="1"/>
    <col min="13830" max="13830" width="13.25" style="125" customWidth="1"/>
    <col min="13831" max="13831" width="12.25" style="125" bestFit="1" customWidth="1"/>
    <col min="13832" max="13832" width="1.875" style="125" customWidth="1"/>
    <col min="13833" max="13833" width="12.625" style="125" bestFit="1" customWidth="1"/>
    <col min="13834" max="13834" width="10.25" style="125"/>
    <col min="13835" max="13835" width="12.625" style="125" bestFit="1" customWidth="1"/>
    <col min="13836" max="14081" width="10.25" style="125"/>
    <col min="14082" max="14082" width="20.125" style="125" customWidth="1"/>
    <col min="14083" max="14084" width="10.25" style="125" customWidth="1"/>
    <col min="14085" max="14085" width="12.625" style="125" bestFit="1" customWidth="1"/>
    <col min="14086" max="14086" width="13.25" style="125" customWidth="1"/>
    <col min="14087" max="14087" width="12.25" style="125" bestFit="1" customWidth="1"/>
    <col min="14088" max="14088" width="1.875" style="125" customWidth="1"/>
    <col min="14089" max="14089" width="12.625" style="125" bestFit="1" customWidth="1"/>
    <col min="14090" max="14090" width="10.25" style="125"/>
    <col min="14091" max="14091" width="12.625" style="125" bestFit="1" customWidth="1"/>
    <col min="14092" max="14337" width="10.25" style="125"/>
    <col min="14338" max="14338" width="20.125" style="125" customWidth="1"/>
    <col min="14339" max="14340" width="10.25" style="125" customWidth="1"/>
    <col min="14341" max="14341" width="12.625" style="125" bestFit="1" customWidth="1"/>
    <col min="14342" max="14342" width="13.25" style="125" customWidth="1"/>
    <col min="14343" max="14343" width="12.25" style="125" bestFit="1" customWidth="1"/>
    <col min="14344" max="14344" width="1.875" style="125" customWidth="1"/>
    <col min="14345" max="14345" width="12.625" style="125" bestFit="1" customWidth="1"/>
    <col min="14346" max="14346" width="10.25" style="125"/>
    <col min="14347" max="14347" width="12.625" style="125" bestFit="1" customWidth="1"/>
    <col min="14348" max="14593" width="10.25" style="125"/>
    <col min="14594" max="14594" width="20.125" style="125" customWidth="1"/>
    <col min="14595" max="14596" width="10.25" style="125" customWidth="1"/>
    <col min="14597" max="14597" width="12.625" style="125" bestFit="1" customWidth="1"/>
    <col min="14598" max="14598" width="13.25" style="125" customWidth="1"/>
    <col min="14599" max="14599" width="12.25" style="125" bestFit="1" customWidth="1"/>
    <col min="14600" max="14600" width="1.875" style="125" customWidth="1"/>
    <col min="14601" max="14601" width="12.625" style="125" bestFit="1" customWidth="1"/>
    <col min="14602" max="14602" width="10.25" style="125"/>
    <col min="14603" max="14603" width="12.625" style="125" bestFit="1" customWidth="1"/>
    <col min="14604" max="14849" width="10.25" style="125"/>
    <col min="14850" max="14850" width="20.125" style="125" customWidth="1"/>
    <col min="14851" max="14852" width="10.25" style="125" customWidth="1"/>
    <col min="14853" max="14853" width="12.625" style="125" bestFit="1" customWidth="1"/>
    <col min="14854" max="14854" width="13.25" style="125" customWidth="1"/>
    <col min="14855" max="14855" width="12.25" style="125" bestFit="1" customWidth="1"/>
    <col min="14856" max="14856" width="1.875" style="125" customWidth="1"/>
    <col min="14857" max="14857" width="12.625" style="125" bestFit="1" customWidth="1"/>
    <col min="14858" max="14858" width="10.25" style="125"/>
    <col min="14859" max="14859" width="12.625" style="125" bestFit="1" customWidth="1"/>
    <col min="14860" max="15105" width="10.25" style="125"/>
    <col min="15106" max="15106" width="20.125" style="125" customWidth="1"/>
    <col min="15107" max="15108" width="10.25" style="125" customWidth="1"/>
    <col min="15109" max="15109" width="12.625" style="125" bestFit="1" customWidth="1"/>
    <col min="15110" max="15110" width="13.25" style="125" customWidth="1"/>
    <col min="15111" max="15111" width="12.25" style="125" bestFit="1" customWidth="1"/>
    <col min="15112" max="15112" width="1.875" style="125" customWidth="1"/>
    <col min="15113" max="15113" width="12.625" style="125" bestFit="1" customWidth="1"/>
    <col min="15114" max="15114" width="10.25" style="125"/>
    <col min="15115" max="15115" width="12.625" style="125" bestFit="1" customWidth="1"/>
    <col min="15116" max="15361" width="10.25" style="125"/>
    <col min="15362" max="15362" width="20.125" style="125" customWidth="1"/>
    <col min="15363" max="15364" width="10.25" style="125" customWidth="1"/>
    <col min="15365" max="15365" width="12.625" style="125" bestFit="1" customWidth="1"/>
    <col min="15366" max="15366" width="13.25" style="125" customWidth="1"/>
    <col min="15367" max="15367" width="12.25" style="125" bestFit="1" customWidth="1"/>
    <col min="15368" max="15368" width="1.875" style="125" customWidth="1"/>
    <col min="15369" max="15369" width="12.625" style="125" bestFit="1" customWidth="1"/>
    <col min="15370" max="15370" width="10.25" style="125"/>
    <col min="15371" max="15371" width="12.625" style="125" bestFit="1" customWidth="1"/>
    <col min="15372" max="15617" width="10.25" style="125"/>
    <col min="15618" max="15618" width="20.125" style="125" customWidth="1"/>
    <col min="15619" max="15620" width="10.25" style="125" customWidth="1"/>
    <col min="15621" max="15621" width="12.625" style="125" bestFit="1" customWidth="1"/>
    <col min="15622" max="15622" width="13.25" style="125" customWidth="1"/>
    <col min="15623" max="15623" width="12.25" style="125" bestFit="1" customWidth="1"/>
    <col min="15624" max="15624" width="1.875" style="125" customWidth="1"/>
    <col min="15625" max="15625" width="12.625" style="125" bestFit="1" customWidth="1"/>
    <col min="15626" max="15626" width="10.25" style="125"/>
    <col min="15627" max="15627" width="12.625" style="125" bestFit="1" customWidth="1"/>
    <col min="15628" max="15873" width="10.25" style="125"/>
    <col min="15874" max="15874" width="20.125" style="125" customWidth="1"/>
    <col min="15875" max="15876" width="10.25" style="125" customWidth="1"/>
    <col min="15877" max="15877" width="12.625" style="125" bestFit="1" customWidth="1"/>
    <col min="15878" max="15878" width="13.25" style="125" customWidth="1"/>
    <col min="15879" max="15879" width="12.25" style="125" bestFit="1" customWidth="1"/>
    <col min="15880" max="15880" width="1.875" style="125" customWidth="1"/>
    <col min="15881" max="15881" width="12.625" style="125" bestFit="1" customWidth="1"/>
    <col min="15882" max="15882" width="10.25" style="125"/>
    <col min="15883" max="15883" width="12.625" style="125" bestFit="1" customWidth="1"/>
    <col min="15884" max="16129" width="10.25" style="125"/>
    <col min="16130" max="16130" width="20.125" style="125" customWidth="1"/>
    <col min="16131" max="16132" width="10.25" style="125" customWidth="1"/>
    <col min="16133" max="16133" width="12.625" style="125" bestFit="1" customWidth="1"/>
    <col min="16134" max="16134" width="13.25" style="125" customWidth="1"/>
    <col min="16135" max="16135" width="12.25" style="125" bestFit="1" customWidth="1"/>
    <col min="16136" max="16136" width="1.875" style="125" customWidth="1"/>
    <col min="16137" max="16137" width="12.625" style="125" bestFit="1" customWidth="1"/>
    <col min="16138" max="16138" width="10.25" style="125"/>
    <col min="16139" max="16139" width="12.625" style="125" bestFit="1" customWidth="1"/>
    <col min="16140" max="16384" width="10.25" style="125"/>
  </cols>
  <sheetData>
    <row r="1" spans="1:24" ht="17.25" customHeight="1" x14ac:dyDescent="0.2">
      <c r="A1" s="135" t="s">
        <v>19</v>
      </c>
      <c r="B1" s="135"/>
      <c r="C1" s="193"/>
      <c r="D1" s="195"/>
      <c r="E1" s="422" t="s">
        <v>178</v>
      </c>
      <c r="F1" s="422"/>
      <c r="G1" s="422"/>
      <c r="H1" s="422"/>
      <c r="I1" s="422"/>
      <c r="J1" s="201"/>
      <c r="K1" s="216"/>
      <c r="L1" s="216"/>
      <c r="M1" s="216"/>
      <c r="N1" s="216"/>
      <c r="O1" s="216"/>
      <c r="Q1" s="423" t="s">
        <v>177</v>
      </c>
      <c r="R1" s="423"/>
      <c r="S1" s="423"/>
      <c r="T1" s="423"/>
      <c r="U1" s="410"/>
    </row>
    <row r="2" spans="1:24" ht="60" x14ac:dyDescent="0.25">
      <c r="A2" s="134" t="s">
        <v>18</v>
      </c>
      <c r="B2" s="134"/>
      <c r="C2" s="116" t="s">
        <v>195</v>
      </c>
      <c r="D2" s="196"/>
      <c r="E2" s="115" t="s">
        <v>20</v>
      </c>
      <c r="F2" s="133" t="s">
        <v>21</v>
      </c>
      <c r="G2" s="133" t="s">
        <v>125</v>
      </c>
      <c r="H2" s="114" t="s">
        <v>22</v>
      </c>
      <c r="I2" s="110" t="s">
        <v>17</v>
      </c>
      <c r="J2" s="202"/>
      <c r="K2" s="224"/>
      <c r="L2" s="224"/>
      <c r="M2" s="217"/>
      <c r="N2" s="217"/>
      <c r="O2" s="217"/>
      <c r="P2" s="223"/>
      <c r="Q2" s="113" t="s">
        <v>179</v>
      </c>
      <c r="R2" s="112" t="s">
        <v>42</v>
      </c>
      <c r="S2" s="112" t="s">
        <v>102</v>
      </c>
      <c r="T2" s="111" t="s">
        <v>180</v>
      </c>
      <c r="U2" s="202"/>
      <c r="V2" s="208" t="s">
        <v>196</v>
      </c>
      <c r="W2" s="208" t="s">
        <v>201</v>
      </c>
      <c r="X2" s="208" t="s">
        <v>202</v>
      </c>
    </row>
    <row r="3" spans="1:24" x14ac:dyDescent="0.25">
      <c r="A3" s="122" t="s">
        <v>9</v>
      </c>
      <c r="B3" s="125">
        <v>9358</v>
      </c>
      <c r="C3" s="130">
        <v>1985</v>
      </c>
      <c r="D3" s="194"/>
      <c r="E3" s="109">
        <v>2148603</v>
      </c>
      <c r="F3" s="126">
        <v>870497</v>
      </c>
      <c r="G3" s="204">
        <f t="shared" ref="G3:G19" si="0">SUM(E3:F3)</f>
        <v>3019100</v>
      </c>
      <c r="H3" s="108">
        <v>2138600</v>
      </c>
      <c r="I3" s="107">
        <f>SUM(E3,F3,H3)</f>
        <v>5157700</v>
      </c>
      <c r="J3" s="106"/>
      <c r="K3" s="209"/>
      <c r="L3" s="209"/>
      <c r="M3" s="225"/>
      <c r="N3" s="218"/>
      <c r="O3" s="218"/>
      <c r="P3" s="223"/>
      <c r="Q3" s="174">
        <f>'Updated Model Agencies'!J139</f>
        <v>570287</v>
      </c>
      <c r="R3" s="174">
        <f>'Updated Model Agencies'!K139</f>
        <v>2386461</v>
      </c>
      <c r="S3" s="174">
        <f>'Updated Model Agencies'!L139</f>
        <v>1193864</v>
      </c>
      <c r="T3" s="206">
        <f>SUM(Q3:S3)</f>
        <v>4150612</v>
      </c>
      <c r="U3" s="206"/>
      <c r="V3" s="127">
        <f>SUM(T3-G3)</f>
        <v>1131512</v>
      </c>
      <c r="W3" s="127">
        <f>SUM(Q3:R3)-E3</f>
        <v>808145</v>
      </c>
      <c r="X3" s="127">
        <f>SUM(S3-F3)</f>
        <v>323367</v>
      </c>
    </row>
    <row r="4" spans="1:24" ht="12.75" x14ac:dyDescent="0.2">
      <c r="A4" s="122" t="s">
        <v>10</v>
      </c>
      <c r="B4" s="125">
        <v>9356</v>
      </c>
      <c r="C4" s="130">
        <v>703</v>
      </c>
      <c r="D4" s="130"/>
      <c r="E4" s="109">
        <v>1217166</v>
      </c>
      <c r="F4" s="129">
        <v>298857</v>
      </c>
      <c r="G4" s="204">
        <f t="shared" si="0"/>
        <v>1516023</v>
      </c>
      <c r="H4" s="108">
        <v>918045</v>
      </c>
      <c r="I4" s="107">
        <f t="shared" ref="I4:I20" si="1">SUM(E4,F4,H4)</f>
        <v>2434068</v>
      </c>
      <c r="J4" s="106"/>
      <c r="K4" s="209"/>
      <c r="L4" s="209"/>
      <c r="M4" s="200"/>
      <c r="N4" s="218"/>
      <c r="O4" s="218"/>
      <c r="P4" s="223"/>
      <c r="Q4" s="174">
        <f>'Updated Model Agencies'!J212</f>
        <v>446915.875</v>
      </c>
      <c r="R4" s="174">
        <f>'Updated Model Agencies'!K211</f>
        <v>944664</v>
      </c>
      <c r="S4" s="174">
        <f>'Updated Model Agencies'!L211</f>
        <v>436835</v>
      </c>
      <c r="T4" s="206">
        <f t="shared" ref="T4:T19" si="2">SUM(Q4:S4)</f>
        <v>1828414.875</v>
      </c>
      <c r="U4" s="206"/>
      <c r="V4" s="127">
        <f t="shared" ref="V4:V19" si="3">SUM(T4-G4)</f>
        <v>312391.875</v>
      </c>
      <c r="W4" s="127">
        <f t="shared" ref="W4:W19" si="4">SUM(Q4:R4)-E4</f>
        <v>174413.875</v>
      </c>
      <c r="X4" s="127">
        <f t="shared" ref="X4:X19" si="5">SUM(S4-F4)</f>
        <v>137978</v>
      </c>
    </row>
    <row r="5" spans="1:24" x14ac:dyDescent="0.25">
      <c r="A5" s="122" t="s">
        <v>161</v>
      </c>
      <c r="B5" s="125">
        <v>9544</v>
      </c>
      <c r="C5" s="130">
        <v>1592</v>
      </c>
      <c r="D5" s="130"/>
      <c r="E5" s="109">
        <v>2065881</v>
      </c>
      <c r="F5" s="126">
        <v>1123819</v>
      </c>
      <c r="G5" s="204">
        <f t="shared" si="0"/>
        <v>3189700</v>
      </c>
      <c r="H5" s="108">
        <v>2128130</v>
      </c>
      <c r="I5" s="107">
        <f t="shared" si="1"/>
        <v>5317830</v>
      </c>
      <c r="J5" s="106"/>
      <c r="K5" s="209"/>
      <c r="L5" s="209"/>
      <c r="M5" s="200"/>
      <c r="N5" s="218"/>
      <c r="O5" s="218"/>
      <c r="P5" s="223"/>
      <c r="Q5" s="174">
        <f>'Updated Model Agencies'!J282</f>
        <v>570287</v>
      </c>
      <c r="R5" s="174">
        <f>'Updated Model Agencies'!K282</f>
        <v>1855619</v>
      </c>
      <c r="S5" s="174">
        <f>'Updated Model Agencies'!L282</f>
        <v>1323685</v>
      </c>
      <c r="T5" s="206">
        <f t="shared" si="2"/>
        <v>3749591</v>
      </c>
      <c r="U5" s="206"/>
      <c r="V5" s="127">
        <f t="shared" si="3"/>
        <v>559891</v>
      </c>
      <c r="W5" s="127">
        <f t="shared" si="4"/>
        <v>360025</v>
      </c>
      <c r="X5" s="127">
        <f t="shared" si="5"/>
        <v>199866</v>
      </c>
    </row>
    <row r="6" spans="1:24" x14ac:dyDescent="0.25">
      <c r="A6" s="122" t="s">
        <v>13</v>
      </c>
      <c r="B6" s="125">
        <v>9088</v>
      </c>
      <c r="C6" s="130">
        <v>681</v>
      </c>
      <c r="D6" s="130"/>
      <c r="E6" s="109">
        <v>1155666</v>
      </c>
      <c r="F6" s="126">
        <v>308057</v>
      </c>
      <c r="G6" s="204">
        <f t="shared" si="0"/>
        <v>1463723</v>
      </c>
      <c r="H6" s="108">
        <v>723530</v>
      </c>
      <c r="I6" s="107">
        <f t="shared" si="1"/>
        <v>2187253</v>
      </c>
      <c r="J6" s="106"/>
      <c r="K6" s="209"/>
      <c r="L6" s="209"/>
      <c r="M6" s="200"/>
      <c r="N6" s="218"/>
      <c r="O6" s="218"/>
      <c r="P6" s="223"/>
      <c r="Q6" s="174">
        <f>'Updated Model Agencies'!J355</f>
        <v>446915.875</v>
      </c>
      <c r="R6" s="174">
        <f>'Updated Model Agencies'!K354</f>
        <v>942739</v>
      </c>
      <c r="S6" s="174">
        <f>'Updated Model Agencies'!L354</f>
        <v>434910</v>
      </c>
      <c r="T6" s="206">
        <f t="shared" si="2"/>
        <v>1824564.875</v>
      </c>
      <c r="U6" s="206"/>
      <c r="V6" s="127">
        <f t="shared" si="3"/>
        <v>360841.875</v>
      </c>
      <c r="W6" s="127">
        <f t="shared" si="4"/>
        <v>233988.875</v>
      </c>
      <c r="X6" s="127">
        <f t="shared" si="5"/>
        <v>126853</v>
      </c>
    </row>
    <row r="7" spans="1:24" x14ac:dyDescent="0.25">
      <c r="A7" s="122" t="s">
        <v>15</v>
      </c>
      <c r="B7" s="125">
        <v>9246</v>
      </c>
      <c r="C7" s="132">
        <v>1610</v>
      </c>
      <c r="D7" s="132"/>
      <c r="E7" s="109">
        <v>2032544</v>
      </c>
      <c r="F7" s="126">
        <v>747482</v>
      </c>
      <c r="G7" s="204">
        <f t="shared" si="0"/>
        <v>2780026</v>
      </c>
      <c r="H7" s="108">
        <v>2155425</v>
      </c>
      <c r="I7" s="107">
        <f t="shared" si="1"/>
        <v>4935451</v>
      </c>
      <c r="J7" s="106"/>
      <c r="K7" s="209"/>
      <c r="L7" s="209"/>
      <c r="M7" s="200"/>
      <c r="N7" s="218"/>
      <c r="O7" s="218"/>
      <c r="P7" s="223"/>
      <c r="Q7" s="174">
        <f>'Updated Model Agencies'!J423</f>
        <v>570287</v>
      </c>
      <c r="R7" s="174">
        <f>'Updated Model Agencies'!K423</f>
        <v>1857194</v>
      </c>
      <c r="S7" s="174">
        <f>'Updated Model Agencies'!L423</f>
        <v>892400</v>
      </c>
      <c r="T7" s="206">
        <f t="shared" si="2"/>
        <v>3319881</v>
      </c>
      <c r="U7" s="206"/>
      <c r="V7" s="127">
        <f t="shared" si="3"/>
        <v>539855</v>
      </c>
      <c r="W7" s="127">
        <f t="shared" si="4"/>
        <v>394937</v>
      </c>
      <c r="X7" s="127">
        <f t="shared" si="5"/>
        <v>144918</v>
      </c>
    </row>
    <row r="8" spans="1:24" ht="12.75" x14ac:dyDescent="0.2">
      <c r="A8" s="122" t="s">
        <v>12</v>
      </c>
      <c r="B8" s="125">
        <v>9227</v>
      </c>
      <c r="C8" s="130">
        <v>2685</v>
      </c>
      <c r="D8" s="130"/>
      <c r="E8" s="109">
        <v>2943070</v>
      </c>
      <c r="F8" s="129">
        <v>1496344</v>
      </c>
      <c r="G8" s="204">
        <f t="shared" si="0"/>
        <v>4439414</v>
      </c>
      <c r="H8" s="108">
        <v>2210175</v>
      </c>
      <c r="I8" s="107">
        <f t="shared" si="1"/>
        <v>6649589</v>
      </c>
      <c r="J8" s="106"/>
      <c r="K8" s="209"/>
      <c r="L8" s="209"/>
      <c r="M8" s="200"/>
      <c r="N8" s="218"/>
      <c r="O8" s="218"/>
      <c r="P8" s="223"/>
      <c r="Q8" s="174">
        <f>'Updated Model Agencies'!J493</f>
        <v>570287</v>
      </c>
      <c r="R8" s="174">
        <f>'Updated Model Agencies'!K493</f>
        <v>3054504</v>
      </c>
      <c r="S8" s="174">
        <f>'Updated Model Agencies'!L493</f>
        <v>1730765</v>
      </c>
      <c r="T8" s="206">
        <f t="shared" si="2"/>
        <v>5355556</v>
      </c>
      <c r="U8" s="206"/>
      <c r="V8" s="127">
        <f t="shared" si="3"/>
        <v>916142</v>
      </c>
      <c r="W8" s="127">
        <f t="shared" si="4"/>
        <v>681721</v>
      </c>
      <c r="X8" s="127">
        <f t="shared" si="5"/>
        <v>234421</v>
      </c>
    </row>
    <row r="9" spans="1:24" ht="12.75" x14ac:dyDescent="0.2">
      <c r="A9" s="122" t="s">
        <v>16</v>
      </c>
      <c r="B9" s="125">
        <v>9217</v>
      </c>
      <c r="C9" s="132">
        <v>2899</v>
      </c>
      <c r="D9" s="132"/>
      <c r="E9" s="109">
        <v>3139967</v>
      </c>
      <c r="F9" s="129">
        <v>1485035</v>
      </c>
      <c r="G9" s="204">
        <f t="shared" si="0"/>
        <v>4625002</v>
      </c>
      <c r="H9" s="108">
        <v>2037325</v>
      </c>
      <c r="I9" s="107">
        <f t="shared" si="1"/>
        <v>6662327</v>
      </c>
      <c r="J9" s="106"/>
      <c r="K9" s="209"/>
      <c r="L9" s="209"/>
      <c r="M9" s="200"/>
      <c r="N9" s="218"/>
      <c r="O9" s="218"/>
      <c r="P9" s="223"/>
      <c r="Q9" s="174">
        <f>'Updated Model Agencies'!J562</f>
        <v>570287</v>
      </c>
      <c r="R9" s="174">
        <f>'Updated Model Agencies'!K562</f>
        <v>3392454</v>
      </c>
      <c r="S9" s="174">
        <f>'Updated Model Agencies'!L562</f>
        <v>1731803</v>
      </c>
      <c r="T9" s="206">
        <f t="shared" si="2"/>
        <v>5694544</v>
      </c>
      <c r="U9" s="206"/>
      <c r="V9" s="127">
        <f t="shared" si="3"/>
        <v>1069542</v>
      </c>
      <c r="W9" s="127">
        <f t="shared" si="4"/>
        <v>822774</v>
      </c>
      <c r="X9" s="127">
        <f t="shared" si="5"/>
        <v>246768</v>
      </c>
    </row>
    <row r="10" spans="1:24" x14ac:dyDescent="0.25">
      <c r="A10" s="122" t="s">
        <v>6</v>
      </c>
      <c r="B10" s="125">
        <v>9357</v>
      </c>
      <c r="C10" s="130">
        <v>862</v>
      </c>
      <c r="D10" s="130"/>
      <c r="E10" s="109">
        <v>1517963</v>
      </c>
      <c r="F10" s="126">
        <v>485399</v>
      </c>
      <c r="G10" s="204">
        <f t="shared" si="0"/>
        <v>2003362</v>
      </c>
      <c r="H10" s="108">
        <v>1527529</v>
      </c>
      <c r="I10" s="107">
        <f t="shared" si="1"/>
        <v>3530891</v>
      </c>
      <c r="J10" s="106"/>
      <c r="K10" s="209"/>
      <c r="L10" s="209"/>
      <c r="M10" s="200"/>
      <c r="N10" s="218"/>
      <c r="O10" s="218"/>
      <c r="P10" s="223"/>
      <c r="Q10" s="174">
        <f>'Updated Model Agencies'!J632</f>
        <v>510761</v>
      </c>
      <c r="R10" s="174">
        <f>'Updated Model Agencies'!K632</f>
        <v>1183650</v>
      </c>
      <c r="S10" s="174">
        <f>'Updated Model Agencies'!L632</f>
        <v>603838</v>
      </c>
      <c r="T10" s="206">
        <f t="shared" si="2"/>
        <v>2298249</v>
      </c>
      <c r="U10" s="206"/>
      <c r="V10" s="127">
        <f t="shared" si="3"/>
        <v>294887</v>
      </c>
      <c r="W10" s="127">
        <f t="shared" si="4"/>
        <v>176448</v>
      </c>
      <c r="X10" s="127">
        <f t="shared" si="5"/>
        <v>118439</v>
      </c>
    </row>
    <row r="11" spans="1:24" x14ac:dyDescent="0.25">
      <c r="A11" s="122" t="s">
        <v>4</v>
      </c>
      <c r="B11" s="125">
        <v>3037</v>
      </c>
      <c r="C11" s="130">
        <v>1487</v>
      </c>
      <c r="D11" s="130"/>
      <c r="E11" s="109">
        <v>1894944</v>
      </c>
      <c r="F11" s="126">
        <v>759819</v>
      </c>
      <c r="G11" s="204">
        <f t="shared" si="0"/>
        <v>2654763</v>
      </c>
      <c r="H11" s="108">
        <v>754690</v>
      </c>
      <c r="I11" s="107">
        <f t="shared" si="1"/>
        <v>3409453</v>
      </c>
      <c r="J11" s="106"/>
      <c r="K11" s="209"/>
      <c r="L11" s="209"/>
      <c r="M11" s="200"/>
      <c r="N11" s="218"/>
      <c r="O11" s="218"/>
      <c r="P11" s="223"/>
      <c r="Q11" s="174">
        <f>'Updated Model Agencies'!J913</f>
        <v>570287</v>
      </c>
      <c r="R11" s="174">
        <f>'Updated Model Agencies'!K913</f>
        <v>1736093</v>
      </c>
      <c r="S11" s="174">
        <f>'Updated Model Agencies'!L913</f>
        <v>911998</v>
      </c>
      <c r="T11" s="206">
        <f t="shared" si="2"/>
        <v>3218378</v>
      </c>
      <c r="U11" s="206"/>
      <c r="V11" s="127">
        <f t="shared" si="3"/>
        <v>563615</v>
      </c>
      <c r="W11" s="127">
        <f t="shared" si="4"/>
        <v>411436</v>
      </c>
      <c r="X11" s="127">
        <f t="shared" si="5"/>
        <v>152179</v>
      </c>
    </row>
    <row r="12" spans="1:24" ht="12.75" x14ac:dyDescent="0.2">
      <c r="A12" s="122" t="s">
        <v>14</v>
      </c>
      <c r="B12" s="125">
        <v>9236</v>
      </c>
      <c r="C12" s="132">
        <v>1830</v>
      </c>
      <c r="D12" s="132"/>
      <c r="E12" s="109">
        <v>2041041</v>
      </c>
      <c r="F12" s="131">
        <v>857072</v>
      </c>
      <c r="G12" s="204">
        <f t="shared" si="0"/>
        <v>2898113</v>
      </c>
      <c r="H12" s="108">
        <v>1935100</v>
      </c>
      <c r="I12" s="107">
        <f t="shared" si="1"/>
        <v>4833213</v>
      </c>
      <c r="J12" s="106"/>
      <c r="K12" s="175"/>
      <c r="L12" s="209"/>
      <c r="M12" s="200"/>
      <c r="N12" s="218"/>
      <c r="O12" s="218"/>
      <c r="P12" s="223"/>
      <c r="Q12" s="174">
        <f>'Updated Model Agencies'!J702</f>
        <v>570287</v>
      </c>
      <c r="R12" s="174">
        <f>'Updated Model Agencies'!K702</f>
        <v>2258163</v>
      </c>
      <c r="S12" s="174">
        <f>'Updated Model Agencies'!L702</f>
        <v>1064240</v>
      </c>
      <c r="T12" s="206">
        <f t="shared" si="2"/>
        <v>3892690</v>
      </c>
      <c r="U12" s="206"/>
      <c r="V12" s="127">
        <f t="shared" si="3"/>
        <v>994577</v>
      </c>
      <c r="W12" s="127">
        <f t="shared" si="4"/>
        <v>787409</v>
      </c>
      <c r="X12" s="127">
        <f t="shared" si="5"/>
        <v>207168</v>
      </c>
    </row>
    <row r="13" spans="1:24" x14ac:dyDescent="0.25">
      <c r="A13" s="122" t="s">
        <v>7</v>
      </c>
      <c r="B13" s="125">
        <v>9295</v>
      </c>
      <c r="C13" s="130">
        <v>2889</v>
      </c>
      <c r="D13" s="130"/>
      <c r="E13" s="109">
        <v>3085532</v>
      </c>
      <c r="F13" s="126">
        <v>1506469</v>
      </c>
      <c r="G13" s="204">
        <f t="shared" si="0"/>
        <v>4592001</v>
      </c>
      <c r="H13" s="108">
        <v>8777551</v>
      </c>
      <c r="I13" s="107">
        <f t="shared" si="1"/>
        <v>13369552</v>
      </c>
      <c r="J13" s="106"/>
      <c r="K13" s="209"/>
      <c r="L13" s="175"/>
      <c r="M13" s="200"/>
      <c r="N13" s="218"/>
      <c r="O13" s="218"/>
      <c r="P13" s="223"/>
      <c r="Q13" s="174">
        <f>'Updated Model Agencies'!J772</f>
        <v>570287</v>
      </c>
      <c r="R13" s="174">
        <f>'Updated Model Agencies'!K772</f>
        <v>3501469</v>
      </c>
      <c r="S13" s="174">
        <f>'Updated Model Agencies'!L772</f>
        <v>1811151</v>
      </c>
      <c r="T13" s="206">
        <f t="shared" si="2"/>
        <v>5882907</v>
      </c>
      <c r="U13" s="206"/>
      <c r="V13" s="127">
        <f t="shared" si="3"/>
        <v>1290906</v>
      </c>
      <c r="W13" s="127">
        <f t="shared" si="4"/>
        <v>986224</v>
      </c>
      <c r="X13" s="127">
        <f t="shared" si="5"/>
        <v>304682</v>
      </c>
    </row>
    <row r="14" spans="1:24" x14ac:dyDescent="0.25">
      <c r="A14" s="122" t="s">
        <v>2</v>
      </c>
      <c r="B14" s="125">
        <v>9248</v>
      </c>
      <c r="C14" s="130">
        <v>721</v>
      </c>
      <c r="D14" s="130"/>
      <c r="E14" s="109">
        <v>1190766</v>
      </c>
      <c r="F14" s="126">
        <v>318157</v>
      </c>
      <c r="G14" s="204">
        <f t="shared" si="0"/>
        <v>1508923</v>
      </c>
      <c r="H14" s="108">
        <v>896448</v>
      </c>
      <c r="I14" s="107">
        <f t="shared" si="1"/>
        <v>2405371</v>
      </c>
      <c r="J14" s="106"/>
      <c r="K14" s="209"/>
      <c r="L14" s="209"/>
      <c r="M14" s="200"/>
      <c r="N14" s="218"/>
      <c r="O14" s="218"/>
      <c r="P14" s="223"/>
      <c r="Q14" s="174">
        <f>'Updated Model Agencies'!J985</f>
        <v>446915.875</v>
      </c>
      <c r="R14" s="174">
        <f>'Updated Model Agencies'!K984</f>
        <v>946239</v>
      </c>
      <c r="S14" s="174">
        <f>'Updated Model Agencies'!L984</f>
        <v>438410</v>
      </c>
      <c r="T14" s="206">
        <f t="shared" si="2"/>
        <v>1831564.875</v>
      </c>
      <c r="U14" s="206"/>
      <c r="V14" s="127">
        <f t="shared" si="3"/>
        <v>322641.875</v>
      </c>
      <c r="W14" s="127">
        <f t="shared" si="4"/>
        <v>202388.875</v>
      </c>
      <c r="X14" s="127">
        <f t="shared" si="5"/>
        <v>120253</v>
      </c>
    </row>
    <row r="15" spans="1:24" x14ac:dyDescent="0.25">
      <c r="A15" s="122" t="s">
        <v>5</v>
      </c>
      <c r="B15" s="125">
        <v>9542</v>
      </c>
      <c r="C15" s="130">
        <v>1792</v>
      </c>
      <c r="D15" s="130"/>
      <c r="E15" s="109">
        <v>2009503</v>
      </c>
      <c r="F15" s="126">
        <v>868834</v>
      </c>
      <c r="G15" s="204">
        <f t="shared" si="0"/>
        <v>2878337</v>
      </c>
      <c r="H15" s="108">
        <v>1500000</v>
      </c>
      <c r="I15" s="107">
        <f t="shared" si="1"/>
        <v>4378337</v>
      </c>
      <c r="J15" s="106"/>
      <c r="K15" s="209"/>
      <c r="L15" s="209"/>
      <c r="M15" s="200"/>
      <c r="N15" s="218"/>
      <c r="O15" s="218"/>
      <c r="P15" s="223"/>
      <c r="Q15" s="174">
        <f>'Updated Model Agencies'!J1055</f>
        <v>570287</v>
      </c>
      <c r="R15" s="174">
        <f>'Updated Model Agencies'!K1055</f>
        <v>2082005</v>
      </c>
      <c r="S15" s="174">
        <f>'Updated Model Agencies'!L1055</f>
        <v>1057503</v>
      </c>
      <c r="T15" s="206">
        <f t="shared" si="2"/>
        <v>3709795</v>
      </c>
      <c r="U15" s="206"/>
      <c r="V15" s="127">
        <f t="shared" si="3"/>
        <v>831458</v>
      </c>
      <c r="W15" s="127">
        <f t="shared" si="4"/>
        <v>642789</v>
      </c>
      <c r="X15" s="127">
        <f t="shared" si="5"/>
        <v>188669</v>
      </c>
    </row>
    <row r="16" spans="1:24" ht="12.75" x14ac:dyDescent="0.2">
      <c r="A16" s="122" t="s">
        <v>11</v>
      </c>
      <c r="B16" s="125">
        <v>6272</v>
      </c>
      <c r="C16" s="130">
        <v>762</v>
      </c>
      <c r="D16" s="130"/>
      <c r="E16" s="109">
        <v>1399276</v>
      </c>
      <c r="F16" s="129">
        <v>446249</v>
      </c>
      <c r="G16" s="204">
        <f t="shared" si="0"/>
        <v>1845525</v>
      </c>
      <c r="H16" s="108">
        <v>508030</v>
      </c>
      <c r="I16" s="107">
        <f t="shared" si="1"/>
        <v>2353555</v>
      </c>
      <c r="J16" s="106"/>
      <c r="K16" s="209"/>
      <c r="L16" s="209"/>
      <c r="M16" s="200"/>
      <c r="N16" s="218"/>
      <c r="O16" s="218"/>
      <c r="P16" s="223"/>
      <c r="Q16" s="174">
        <f>'Updated Model Agencies'!J843</f>
        <v>510761</v>
      </c>
      <c r="R16" s="174">
        <f>'Updated Model Agencies'!K843</f>
        <v>1064561</v>
      </c>
      <c r="S16" s="174">
        <f>'Updated Model Agencies'!L843</f>
        <v>556678</v>
      </c>
      <c r="T16" s="206">
        <f t="shared" si="2"/>
        <v>2132000</v>
      </c>
      <c r="U16" s="206"/>
      <c r="V16" s="127">
        <f t="shared" si="3"/>
        <v>286475</v>
      </c>
      <c r="W16" s="127">
        <f t="shared" si="4"/>
        <v>176046</v>
      </c>
      <c r="X16" s="127">
        <f t="shared" si="5"/>
        <v>110429</v>
      </c>
    </row>
    <row r="17" spans="1:24" x14ac:dyDescent="0.25">
      <c r="A17" s="122" t="s">
        <v>1</v>
      </c>
      <c r="B17" s="125">
        <v>9190</v>
      </c>
      <c r="C17" s="130">
        <v>1755</v>
      </c>
      <c r="D17" s="130"/>
      <c r="E17" s="109">
        <v>1999381</v>
      </c>
      <c r="F17" s="126">
        <v>760919</v>
      </c>
      <c r="G17" s="204">
        <f t="shared" si="0"/>
        <v>2760300</v>
      </c>
      <c r="H17" s="108">
        <v>1271255</v>
      </c>
      <c r="I17" s="107">
        <f t="shared" si="1"/>
        <v>4031555</v>
      </c>
      <c r="J17" s="106"/>
      <c r="K17" s="209"/>
      <c r="L17" s="209"/>
      <c r="M17" s="200"/>
      <c r="N17" s="218"/>
      <c r="O17" s="218"/>
      <c r="P17" s="223"/>
      <c r="Q17" s="174">
        <f>'Updated Model Agencies'!J1126</f>
        <v>570287</v>
      </c>
      <c r="R17" s="174">
        <f>'Updated Model Agencies'!K1126</f>
        <v>2078768</v>
      </c>
      <c r="S17" s="174">
        <f>'Updated Model Agencies'!L1126</f>
        <v>1049551</v>
      </c>
      <c r="T17" s="206">
        <f t="shared" si="2"/>
        <v>3698606</v>
      </c>
      <c r="U17" s="206"/>
      <c r="V17" s="127">
        <f t="shared" si="3"/>
        <v>938306</v>
      </c>
      <c r="W17" s="127">
        <f t="shared" si="4"/>
        <v>649674</v>
      </c>
      <c r="X17" s="127">
        <f t="shared" si="5"/>
        <v>288632</v>
      </c>
    </row>
    <row r="18" spans="1:24" x14ac:dyDescent="0.25">
      <c r="A18" s="122" t="s">
        <v>3</v>
      </c>
      <c r="B18" s="125">
        <v>3127</v>
      </c>
      <c r="C18" s="130">
        <v>702</v>
      </c>
      <c r="D18" s="130"/>
      <c r="E18" s="109">
        <v>1156916</v>
      </c>
      <c r="F18" s="126">
        <v>292607</v>
      </c>
      <c r="G18" s="204">
        <f t="shared" si="0"/>
        <v>1449523</v>
      </c>
      <c r="H18" s="108">
        <v>305834</v>
      </c>
      <c r="I18" s="107">
        <f t="shared" si="1"/>
        <v>1755357</v>
      </c>
      <c r="J18" s="106"/>
      <c r="K18" s="209"/>
      <c r="L18" s="209"/>
      <c r="M18" s="200"/>
      <c r="N18" s="218"/>
      <c r="O18" s="218"/>
      <c r="P18" s="223"/>
      <c r="Q18" s="174">
        <f>'Updated Model Agencies'!J1197</f>
        <v>446915.875</v>
      </c>
      <c r="R18" s="174">
        <f>'Updated Model Agencies'!K1196</f>
        <v>944576</v>
      </c>
      <c r="S18" s="174">
        <f>'Updated Model Agencies'!L1196</f>
        <v>436747</v>
      </c>
      <c r="T18" s="206">
        <f t="shared" si="2"/>
        <v>1828238.875</v>
      </c>
      <c r="U18" s="206"/>
      <c r="V18" s="127">
        <f t="shared" si="3"/>
        <v>378715.875</v>
      </c>
      <c r="W18" s="127">
        <f t="shared" si="4"/>
        <v>234575.875</v>
      </c>
      <c r="X18" s="127">
        <f t="shared" si="5"/>
        <v>144140</v>
      </c>
    </row>
    <row r="19" spans="1:24" x14ac:dyDescent="0.25">
      <c r="A19" s="122" t="s">
        <v>8</v>
      </c>
      <c r="B19" s="125">
        <v>9329</v>
      </c>
      <c r="C19" s="130">
        <v>3127</v>
      </c>
      <c r="D19" s="130"/>
      <c r="E19" s="109">
        <v>3098025</v>
      </c>
      <c r="F19" s="126">
        <v>1563912</v>
      </c>
      <c r="G19" s="205">
        <f t="shared" si="0"/>
        <v>4661937</v>
      </c>
      <c r="H19" s="108">
        <v>3198658</v>
      </c>
      <c r="I19" s="107">
        <f t="shared" si="1"/>
        <v>7860595</v>
      </c>
      <c r="J19" s="106"/>
      <c r="K19" s="209"/>
      <c r="L19" s="209"/>
      <c r="M19" s="200"/>
      <c r="N19" s="218"/>
      <c r="O19" s="218"/>
      <c r="P19" s="223"/>
      <c r="Q19" s="174">
        <f>'Updated Model Agencies'!J1265</f>
        <v>629812</v>
      </c>
      <c r="R19" s="174">
        <f>'Updated Model Agencies'!K1265</f>
        <v>3901365</v>
      </c>
      <c r="S19" s="174">
        <f>'Updated Model Agencies'!L1265</f>
        <v>1752518</v>
      </c>
      <c r="T19" s="206">
        <f t="shared" si="2"/>
        <v>6283695</v>
      </c>
      <c r="U19" s="206"/>
      <c r="V19" s="127">
        <f t="shared" si="3"/>
        <v>1621758</v>
      </c>
      <c r="W19" s="127">
        <f t="shared" si="4"/>
        <v>1433152</v>
      </c>
      <c r="X19" s="127">
        <f t="shared" si="5"/>
        <v>188606</v>
      </c>
    </row>
    <row r="20" spans="1:24" ht="15.75" thickBot="1" x14ac:dyDescent="0.3">
      <c r="A20" s="210" t="s">
        <v>104</v>
      </c>
      <c r="B20" s="198">
        <v>9422</v>
      </c>
      <c r="C20" s="211"/>
      <c r="D20" s="211"/>
      <c r="E20" s="203"/>
      <c r="F20" s="212"/>
      <c r="G20" s="203">
        <f>SUM(E20:F20)</f>
        <v>0</v>
      </c>
      <c r="H20" s="213">
        <v>2652285</v>
      </c>
      <c r="I20" s="107">
        <f t="shared" si="1"/>
        <v>2652285</v>
      </c>
      <c r="J20" s="109"/>
      <c r="K20" s="209"/>
      <c r="L20" s="209"/>
      <c r="M20" s="200"/>
      <c r="N20" s="218"/>
      <c r="O20" s="218"/>
      <c r="P20" s="128"/>
      <c r="Q20" s="174"/>
      <c r="R20" s="209"/>
      <c r="S20" s="209"/>
      <c r="T20" s="206"/>
      <c r="U20" s="206"/>
      <c r="V20" s="127"/>
      <c r="W20" s="127"/>
      <c r="X20" s="127"/>
    </row>
    <row r="21" spans="1:24" ht="15.75" thickBot="1" x14ac:dyDescent="0.3">
      <c r="A21" s="136" t="s">
        <v>0</v>
      </c>
      <c r="B21" s="136"/>
      <c r="C21" s="117">
        <f>SUM(C3:C19)</f>
        <v>28082</v>
      </c>
      <c r="D21" s="197"/>
      <c r="E21" s="118">
        <f>SUM(E3:E19)</f>
        <v>34096244</v>
      </c>
      <c r="F21" s="137">
        <f>SUM(F3:F19)</f>
        <v>14189528</v>
      </c>
      <c r="G21" s="124">
        <f>SUM(G3:G19)</f>
        <v>48285772</v>
      </c>
      <c r="H21" s="119">
        <f>SUM(H3:H20)</f>
        <v>35638610</v>
      </c>
      <c r="I21" s="120">
        <f>SUM(I3:I20)</f>
        <v>83924382</v>
      </c>
      <c r="J21" s="227"/>
      <c r="K21" s="226"/>
      <c r="L21" s="226"/>
      <c r="M21" s="226"/>
      <c r="N21" s="226"/>
      <c r="O21" s="226"/>
      <c r="P21" s="223"/>
      <c r="Q21" s="191">
        <f>SUM(Q3:Q19)</f>
        <v>9141867.5</v>
      </c>
      <c r="R21" s="192">
        <f>SUM(R3:R19)</f>
        <v>34130524</v>
      </c>
      <c r="S21" s="192">
        <f>SUM(S3:S19)</f>
        <v>17426896</v>
      </c>
      <c r="T21" s="215">
        <f>SUM(T3:T19)</f>
        <v>60699287.5</v>
      </c>
      <c r="U21" s="411"/>
      <c r="V21" s="214">
        <f>SUM(V3:V19)</f>
        <v>12413515.5</v>
      </c>
      <c r="W21" s="214">
        <f>SUM(W3:W19)</f>
        <v>9176147.5</v>
      </c>
      <c r="X21" s="214">
        <f>SUM(X3:X19)</f>
        <v>3237368</v>
      </c>
    </row>
    <row r="22" spans="1:24" x14ac:dyDescent="0.25">
      <c r="A22" s="105"/>
      <c r="B22" s="128"/>
      <c r="C22" s="128"/>
      <c r="D22" s="128"/>
      <c r="E22" s="123"/>
      <c r="F22" s="123"/>
      <c r="G22" s="123"/>
      <c r="H22" s="104"/>
      <c r="I22" s="127"/>
      <c r="J22" s="127"/>
      <c r="K22" s="218"/>
      <c r="N22" s="219"/>
      <c r="O22" s="220"/>
      <c r="P22" s="199"/>
      <c r="V22" s="127"/>
    </row>
    <row r="23" spans="1:24" x14ac:dyDescent="0.25">
      <c r="H23" s="125"/>
      <c r="J23" s="218"/>
      <c r="K23" s="218"/>
      <c r="M23" s="222"/>
      <c r="N23" s="219"/>
      <c r="O23" s="219"/>
      <c r="P23" s="103"/>
    </row>
    <row r="24" spans="1:24" x14ac:dyDescent="0.25">
      <c r="A24" s="163"/>
      <c r="B24" s="128"/>
      <c r="C24" s="162"/>
      <c r="D24" s="162"/>
      <c r="E24" s="106"/>
      <c r="F24" s="126"/>
      <c r="G24" s="127"/>
      <c r="H24" s="108"/>
      <c r="I24" s="106"/>
      <c r="J24" s="218"/>
      <c r="K24" s="218"/>
      <c r="M24" s="222"/>
      <c r="N24" s="219"/>
      <c r="O24" s="219"/>
      <c r="P24" s="103"/>
    </row>
    <row r="25" spans="1:24" x14ac:dyDescent="0.25">
      <c r="A25" s="163"/>
      <c r="B25" s="128"/>
      <c r="C25" s="162"/>
      <c r="D25" s="162"/>
      <c r="E25" s="106"/>
      <c r="F25" s="126"/>
      <c r="G25" s="127"/>
      <c r="H25" s="108"/>
      <c r="I25" s="106"/>
      <c r="J25" s="106"/>
    </row>
    <row r="26" spans="1:24" x14ac:dyDescent="0.25">
      <c r="F26" s="102"/>
      <c r="G26" s="102"/>
    </row>
  </sheetData>
  <mergeCells count="2">
    <mergeCell ref="E1:I1"/>
    <mergeCell ref="Q1:T1"/>
  </mergeCells>
  <pageMargins left="0" right="0" top="0" bottom="0" header="0" footer="0"/>
  <pageSetup paperSize="5" scale="65" orientation="landscape" r:id="rId1"/>
  <headerFooter alignWithMargins="0">
    <oddFooter>&amp;L&amp;"Times New Roman"&amp;8NCR#8062682 - v2</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topLeftCell="A28" zoomScaleNormal="100" workbookViewId="0">
      <selection activeCell="I9" sqref="I9"/>
    </sheetView>
  </sheetViews>
  <sheetFormatPr defaultColWidth="9.125" defaultRowHeight="15.75" x14ac:dyDescent="0.2"/>
  <cols>
    <col min="1" max="1" width="0.375" style="58" customWidth="1"/>
    <col min="2" max="2" width="6.125" style="59" customWidth="1"/>
    <col min="3" max="3" width="40" style="57" customWidth="1"/>
    <col min="4" max="4" width="86.625" style="57" customWidth="1"/>
    <col min="5" max="5" width="9.125" style="58"/>
    <col min="6" max="6" width="15.25" style="58" customWidth="1"/>
    <col min="7" max="7" width="12.125" style="58" customWidth="1"/>
    <col min="8" max="8" width="11.25" style="58" customWidth="1"/>
    <col min="9" max="9" width="13.625" style="58" customWidth="1"/>
    <col min="10" max="10" width="9.375" style="58" customWidth="1"/>
    <col min="11" max="11" width="14.75" style="58" customWidth="1"/>
    <col min="12" max="12" width="12.625" style="58" customWidth="1"/>
    <col min="13" max="13" width="8.125" style="58" customWidth="1"/>
    <col min="14" max="14" width="12.125" style="58" customWidth="1"/>
    <col min="15" max="16384" width="9.125" style="58"/>
  </cols>
  <sheetData>
    <row r="1" spans="1:12" x14ac:dyDescent="0.25">
      <c r="A1" s="424" t="s">
        <v>209</v>
      </c>
      <c r="B1" s="425"/>
      <c r="C1" s="425"/>
      <c r="D1" s="425"/>
      <c r="E1" s="71"/>
      <c r="F1" s="71"/>
      <c r="G1" s="71"/>
      <c r="H1" s="71"/>
      <c r="I1" s="71"/>
      <c r="J1" s="71"/>
      <c r="K1" s="71"/>
      <c r="L1" s="67"/>
    </row>
    <row r="2" spans="1:12" x14ac:dyDescent="0.25">
      <c r="A2" s="73"/>
      <c r="B2" s="75"/>
      <c r="C2" s="68"/>
      <c r="D2" s="68"/>
      <c r="E2" s="73"/>
      <c r="F2" s="73"/>
      <c r="G2" s="73"/>
      <c r="H2" s="73"/>
      <c r="I2" s="73"/>
      <c r="J2" s="73"/>
      <c r="K2" s="73"/>
      <c r="L2" s="67"/>
    </row>
    <row r="3" spans="1:12" ht="18.75" customHeight="1" x14ac:dyDescent="0.2">
      <c r="A3" s="426" t="s">
        <v>147</v>
      </c>
      <c r="B3" s="427"/>
      <c r="C3" s="427"/>
      <c r="D3" s="427"/>
      <c r="E3" s="70"/>
      <c r="F3" s="70"/>
      <c r="G3" s="70"/>
      <c r="H3" s="70"/>
      <c r="I3" s="70"/>
      <c r="J3" s="70"/>
      <c r="K3" s="70"/>
      <c r="L3" s="70"/>
    </row>
    <row r="4" spans="1:12" x14ac:dyDescent="0.25">
      <c r="A4" s="69"/>
      <c r="B4" s="75"/>
      <c r="C4" s="68"/>
      <c r="D4" s="68"/>
      <c r="E4" s="73"/>
      <c r="F4" s="73"/>
      <c r="G4" s="73"/>
      <c r="H4" s="73"/>
      <c r="I4" s="73"/>
      <c r="J4" s="73"/>
      <c r="K4" s="73"/>
      <c r="L4" s="67"/>
    </row>
    <row r="5" spans="1:12" ht="16.5" thickBot="1" x14ac:dyDescent="0.3">
      <c r="A5" s="73" t="s">
        <v>145</v>
      </c>
      <c r="B5" s="75"/>
      <c r="C5" s="68"/>
      <c r="D5" s="68"/>
      <c r="E5" s="73"/>
      <c r="F5" s="73"/>
      <c r="G5" s="73"/>
      <c r="H5" s="73"/>
      <c r="I5" s="73"/>
      <c r="J5" s="73"/>
      <c r="K5" s="73"/>
      <c r="L5" s="67"/>
    </row>
    <row r="6" spans="1:12" ht="16.5" thickBot="1" x14ac:dyDescent="0.3">
      <c r="A6" s="67"/>
      <c r="B6" s="76"/>
      <c r="C6" s="76" t="s">
        <v>144</v>
      </c>
      <c r="D6" s="77" t="s">
        <v>146</v>
      </c>
      <c r="E6" s="73"/>
      <c r="F6" s="67"/>
      <c r="G6" s="67"/>
      <c r="H6" s="67"/>
      <c r="I6" s="67"/>
      <c r="J6" s="67"/>
      <c r="K6" s="67"/>
      <c r="L6" s="67"/>
    </row>
    <row r="7" spans="1:12" ht="33" customHeight="1" x14ac:dyDescent="0.25">
      <c r="A7" s="73"/>
      <c r="B7" s="78"/>
      <c r="C7" s="79" t="s">
        <v>143</v>
      </c>
      <c r="D7" s="80" t="s">
        <v>210</v>
      </c>
      <c r="E7" s="73"/>
      <c r="F7" s="428" t="s">
        <v>197</v>
      </c>
      <c r="G7" s="428"/>
      <c r="H7" s="67"/>
      <c r="I7" s="67"/>
      <c r="J7" s="67"/>
      <c r="K7" s="67"/>
      <c r="L7" s="67"/>
    </row>
    <row r="8" spans="1:12" ht="63.75" customHeight="1" x14ac:dyDescent="0.25">
      <c r="A8" s="73"/>
      <c r="B8" s="81"/>
      <c r="C8" s="82" t="s">
        <v>142</v>
      </c>
      <c r="D8" s="83" t="s">
        <v>175</v>
      </c>
      <c r="E8" s="73"/>
      <c r="F8" s="90" t="s">
        <v>203</v>
      </c>
      <c r="G8" s="91" t="s">
        <v>204</v>
      </c>
      <c r="H8" s="67"/>
      <c r="I8" s="67"/>
      <c r="J8" s="67"/>
      <c r="K8" s="67"/>
      <c r="L8" s="67"/>
    </row>
    <row r="9" spans="1:12" ht="60" x14ac:dyDescent="0.25">
      <c r="A9" s="73"/>
      <c r="B9" s="81"/>
      <c r="C9" s="84" t="s">
        <v>148</v>
      </c>
      <c r="D9" s="83" t="s">
        <v>141</v>
      </c>
      <c r="E9" s="73"/>
      <c r="F9" s="92" t="s">
        <v>205</v>
      </c>
      <c r="G9" s="93">
        <v>0.125</v>
      </c>
      <c r="H9" s="67"/>
      <c r="I9" s="67"/>
      <c r="J9" s="67"/>
      <c r="K9" s="67"/>
      <c r="L9" s="67"/>
    </row>
    <row r="10" spans="1:12" ht="30" x14ac:dyDescent="0.25">
      <c r="A10" s="73"/>
      <c r="B10" s="81">
        <v>1</v>
      </c>
      <c r="C10" s="84" t="s">
        <v>149</v>
      </c>
      <c r="D10" s="85" t="s">
        <v>150</v>
      </c>
      <c r="E10" s="73"/>
      <c r="F10" s="92">
        <v>150</v>
      </c>
      <c r="G10" s="93">
        <v>0.1875</v>
      </c>
      <c r="H10" s="67"/>
      <c r="I10" s="67"/>
      <c r="J10" s="67"/>
      <c r="K10" s="67"/>
      <c r="L10" s="67"/>
    </row>
    <row r="11" spans="1:12" ht="35.25" customHeight="1" x14ac:dyDescent="0.25">
      <c r="A11" s="73"/>
      <c r="B11" s="81">
        <v>2</v>
      </c>
      <c r="C11" s="82" t="s">
        <v>140</v>
      </c>
      <c r="D11" s="83" t="s">
        <v>139</v>
      </c>
      <c r="E11" s="73"/>
      <c r="F11" s="94">
        <v>200</v>
      </c>
      <c r="G11" s="93">
        <v>0.25</v>
      </c>
      <c r="H11" s="67"/>
      <c r="I11" s="67"/>
      <c r="J11" s="67"/>
      <c r="K11" s="67"/>
      <c r="L11" s="67"/>
    </row>
    <row r="12" spans="1:12" ht="33" customHeight="1" x14ac:dyDescent="0.25">
      <c r="A12" s="86"/>
      <c r="B12" s="81">
        <v>3</v>
      </c>
      <c r="C12" s="82" t="s">
        <v>119</v>
      </c>
      <c r="D12" s="83" t="s">
        <v>156</v>
      </c>
      <c r="E12" s="73"/>
      <c r="F12" s="94">
        <v>250</v>
      </c>
      <c r="G12" s="93">
        <v>0.3125</v>
      </c>
      <c r="H12" s="72"/>
      <c r="I12" s="67"/>
      <c r="J12" s="67"/>
      <c r="K12" s="67"/>
      <c r="L12" s="67"/>
    </row>
    <row r="13" spans="1:12" ht="49.5" customHeight="1" x14ac:dyDescent="0.25">
      <c r="A13" s="73"/>
      <c r="B13" s="81">
        <v>4</v>
      </c>
      <c r="C13" s="82" t="s">
        <v>137</v>
      </c>
      <c r="D13" s="83" t="s">
        <v>211</v>
      </c>
      <c r="E13" s="73"/>
      <c r="F13" s="94">
        <v>300</v>
      </c>
      <c r="G13" s="93">
        <v>0.375</v>
      </c>
      <c r="H13" s="72"/>
      <c r="I13" s="67"/>
      <c r="J13" s="67"/>
      <c r="K13" s="67"/>
      <c r="L13" s="67"/>
    </row>
    <row r="14" spans="1:12" ht="30" x14ac:dyDescent="0.25">
      <c r="A14" s="73"/>
      <c r="B14" s="81">
        <v>5</v>
      </c>
      <c r="C14" s="82" t="s">
        <v>138</v>
      </c>
      <c r="D14" s="83" t="s">
        <v>212</v>
      </c>
      <c r="E14" s="73"/>
      <c r="F14" s="94">
        <v>350</v>
      </c>
      <c r="G14" s="93">
        <v>0.4375</v>
      </c>
      <c r="H14" s="67"/>
      <c r="I14" s="67"/>
      <c r="J14" s="67"/>
      <c r="K14" s="67"/>
      <c r="L14" s="67"/>
    </row>
    <row r="15" spans="1:12" ht="30" x14ac:dyDescent="0.25">
      <c r="A15" s="73"/>
      <c r="B15" s="81">
        <v>6</v>
      </c>
      <c r="C15" s="82" t="s">
        <v>136</v>
      </c>
      <c r="D15" s="83" t="s">
        <v>164</v>
      </c>
      <c r="E15" s="73"/>
      <c r="F15" s="94">
        <v>400</v>
      </c>
      <c r="G15" s="93">
        <v>0.5</v>
      </c>
      <c r="H15" s="67"/>
      <c r="I15" s="67"/>
      <c r="J15" s="67"/>
      <c r="K15" s="67"/>
      <c r="L15" s="67"/>
    </row>
    <row r="16" spans="1:12" ht="31.5" x14ac:dyDescent="0.25">
      <c r="A16" s="73"/>
      <c r="B16" s="87" t="s">
        <v>159</v>
      </c>
      <c r="C16" s="82" t="s">
        <v>151</v>
      </c>
      <c r="D16" s="83" t="s">
        <v>174</v>
      </c>
      <c r="E16" s="73"/>
      <c r="F16" s="94">
        <v>450</v>
      </c>
      <c r="G16" s="93">
        <v>0.5625</v>
      </c>
      <c r="H16" s="67"/>
      <c r="I16" s="67"/>
      <c r="J16" s="67"/>
      <c r="K16" s="67"/>
      <c r="L16" s="67"/>
    </row>
    <row r="17" spans="1:11" ht="60" x14ac:dyDescent="0.25">
      <c r="A17" s="86"/>
      <c r="B17" s="81">
        <v>12</v>
      </c>
      <c r="C17" s="82" t="s">
        <v>135</v>
      </c>
      <c r="D17" s="83" t="s">
        <v>157</v>
      </c>
      <c r="E17" s="73"/>
      <c r="F17" s="94">
        <v>500</v>
      </c>
      <c r="G17" s="93">
        <v>0.625</v>
      </c>
      <c r="H17" s="67"/>
      <c r="I17" s="67"/>
      <c r="J17" s="67"/>
      <c r="K17" s="67"/>
    </row>
    <row r="18" spans="1:11" ht="30" x14ac:dyDescent="0.25">
      <c r="A18" s="73"/>
      <c r="B18" s="81">
        <v>13</v>
      </c>
      <c r="C18" s="82" t="s">
        <v>134</v>
      </c>
      <c r="D18" s="83" t="s">
        <v>213</v>
      </c>
      <c r="E18" s="73"/>
      <c r="F18" s="94">
        <v>550</v>
      </c>
      <c r="G18" s="93">
        <v>0.6875</v>
      </c>
      <c r="H18" s="67"/>
      <c r="I18" s="67"/>
      <c r="J18" s="67"/>
      <c r="K18" s="67"/>
    </row>
    <row r="19" spans="1:11" ht="75" x14ac:dyDescent="0.2">
      <c r="A19" s="73"/>
      <c r="B19" s="81">
        <v>14</v>
      </c>
      <c r="C19" s="82" t="s">
        <v>133</v>
      </c>
      <c r="D19" s="83" t="s">
        <v>132</v>
      </c>
      <c r="E19" s="73"/>
      <c r="F19" s="94">
        <v>600</v>
      </c>
      <c r="G19" s="93">
        <v>0.75</v>
      </c>
      <c r="H19" s="73"/>
      <c r="I19" s="73"/>
      <c r="J19" s="73"/>
      <c r="K19" s="73"/>
    </row>
    <row r="20" spans="1:11" ht="30" x14ac:dyDescent="0.2">
      <c r="A20" s="73"/>
      <c r="B20" s="81">
        <v>15</v>
      </c>
      <c r="C20" s="82" t="s">
        <v>131</v>
      </c>
      <c r="D20" s="83" t="s">
        <v>165</v>
      </c>
      <c r="E20" s="73"/>
      <c r="F20" s="94">
        <v>650</v>
      </c>
      <c r="G20" s="93">
        <v>0.8125</v>
      </c>
      <c r="H20" s="73"/>
      <c r="I20" s="73"/>
      <c r="J20" s="73"/>
      <c r="K20" s="73"/>
    </row>
    <row r="21" spans="1:11" ht="30" x14ac:dyDescent="0.2">
      <c r="A21" s="73"/>
      <c r="B21" s="81">
        <v>16</v>
      </c>
      <c r="C21" s="82" t="s">
        <v>130</v>
      </c>
      <c r="D21" s="83" t="s">
        <v>167</v>
      </c>
      <c r="E21" s="73"/>
      <c r="F21" s="94">
        <v>700</v>
      </c>
      <c r="G21" s="93">
        <v>0.875</v>
      </c>
      <c r="H21" s="73"/>
      <c r="I21" s="73"/>
      <c r="J21" s="73"/>
      <c r="K21" s="73"/>
    </row>
    <row r="22" spans="1:11" ht="30" x14ac:dyDescent="0.2">
      <c r="A22" s="73"/>
      <c r="B22" s="81">
        <v>17</v>
      </c>
      <c r="C22" s="82" t="s">
        <v>166</v>
      </c>
      <c r="D22" s="83" t="s">
        <v>168</v>
      </c>
      <c r="E22" s="73"/>
      <c r="F22" s="94">
        <v>750</v>
      </c>
      <c r="G22" s="93">
        <v>0.9375</v>
      </c>
      <c r="H22" s="73"/>
      <c r="I22" s="73"/>
      <c r="J22" s="73"/>
      <c r="K22" s="73"/>
    </row>
    <row r="23" spans="1:11" ht="60" x14ac:dyDescent="0.2">
      <c r="A23" s="73"/>
      <c r="B23" s="87">
        <v>18</v>
      </c>
      <c r="C23" s="82" t="s">
        <v>129</v>
      </c>
      <c r="D23" s="83" t="s">
        <v>172</v>
      </c>
      <c r="E23" s="73"/>
      <c r="F23" s="94" t="s">
        <v>198</v>
      </c>
      <c r="G23" s="93">
        <v>0.01</v>
      </c>
      <c r="H23" s="73"/>
      <c r="I23" s="73"/>
      <c r="J23" s="73"/>
      <c r="K23" s="73"/>
    </row>
    <row r="24" spans="1:11" ht="30" x14ac:dyDescent="0.2">
      <c r="A24" s="73"/>
      <c r="B24" s="87">
        <v>19</v>
      </c>
      <c r="C24" s="82" t="s">
        <v>169</v>
      </c>
      <c r="D24" s="83" t="s">
        <v>170</v>
      </c>
      <c r="E24" s="73"/>
      <c r="F24" s="73"/>
      <c r="G24" s="73"/>
      <c r="H24" s="73"/>
      <c r="I24" s="73"/>
      <c r="J24" s="73"/>
      <c r="K24" s="73"/>
    </row>
    <row r="25" spans="1:11" ht="30" x14ac:dyDescent="0.2">
      <c r="A25" s="73"/>
      <c r="B25" s="81">
        <v>21</v>
      </c>
      <c r="C25" s="95" t="s">
        <v>128</v>
      </c>
      <c r="D25" s="83" t="s">
        <v>171</v>
      </c>
      <c r="E25" s="73"/>
      <c r="F25" s="73"/>
      <c r="G25" s="73"/>
      <c r="H25" s="73"/>
      <c r="I25" s="73"/>
      <c r="J25" s="73"/>
      <c r="K25" s="73"/>
    </row>
    <row r="26" spans="1:11" x14ac:dyDescent="0.2">
      <c r="A26" s="73"/>
      <c r="B26" s="87">
        <v>22</v>
      </c>
      <c r="C26" s="96" t="s">
        <v>154</v>
      </c>
      <c r="D26" s="83" t="s">
        <v>214</v>
      </c>
      <c r="E26" s="73"/>
      <c r="F26" s="73"/>
      <c r="G26" s="73"/>
      <c r="H26" s="73"/>
      <c r="I26" s="73"/>
      <c r="J26" s="73"/>
      <c r="K26" s="73"/>
    </row>
    <row r="27" spans="1:11" ht="27.75" customHeight="1" x14ac:dyDescent="0.25">
      <c r="A27" s="73"/>
      <c r="B27" s="97">
        <v>23</v>
      </c>
      <c r="C27" s="98" t="s">
        <v>152</v>
      </c>
      <c r="D27" s="99" t="s">
        <v>215</v>
      </c>
      <c r="E27" s="73"/>
      <c r="F27" s="73"/>
      <c r="G27" s="73"/>
      <c r="H27" s="73"/>
      <c r="I27" s="73"/>
      <c r="J27" s="73"/>
      <c r="K27" s="73"/>
    </row>
    <row r="28" spans="1:11" ht="45" x14ac:dyDescent="0.2">
      <c r="A28" s="73"/>
      <c r="B28" s="81">
        <v>24</v>
      </c>
      <c r="C28" s="82" t="s">
        <v>127</v>
      </c>
      <c r="D28" s="83" t="s">
        <v>216</v>
      </c>
      <c r="E28" s="73"/>
      <c r="F28" s="73"/>
      <c r="G28" s="73"/>
      <c r="H28" s="73"/>
      <c r="I28" s="73"/>
      <c r="J28" s="73"/>
      <c r="K28" s="73"/>
    </row>
    <row r="29" spans="1:11" x14ac:dyDescent="0.2">
      <c r="A29" s="73"/>
      <c r="B29" s="81">
        <v>25</v>
      </c>
      <c r="C29" s="82" t="s">
        <v>153</v>
      </c>
      <c r="D29" s="83" t="s">
        <v>158</v>
      </c>
      <c r="E29" s="73"/>
      <c r="F29" s="73"/>
      <c r="G29" s="73"/>
      <c r="H29" s="73"/>
      <c r="I29" s="73"/>
      <c r="J29" s="73"/>
      <c r="K29" s="73"/>
    </row>
    <row r="30" spans="1:11" x14ac:dyDescent="0.25">
      <c r="A30" s="73"/>
      <c r="B30" s="67"/>
      <c r="C30" s="67"/>
      <c r="D30" s="67"/>
      <c r="E30" s="73"/>
      <c r="F30" s="73"/>
      <c r="G30" s="73"/>
      <c r="H30" s="73"/>
      <c r="I30" s="73"/>
      <c r="J30" s="73"/>
      <c r="K30" s="73"/>
    </row>
    <row r="31" spans="1:11" x14ac:dyDescent="0.25">
      <c r="A31" s="67"/>
      <c r="B31" s="89" t="s">
        <v>173</v>
      </c>
      <c r="C31" s="67"/>
      <c r="D31" s="67"/>
      <c r="E31" s="67"/>
      <c r="F31" s="67"/>
      <c r="G31" s="67"/>
      <c r="H31" s="67"/>
      <c r="I31" s="67"/>
      <c r="J31" s="67"/>
      <c r="K31" s="67"/>
    </row>
    <row r="33" spans="2:4" ht="90.75" thickBot="1" x14ac:dyDescent="0.25">
      <c r="B33" s="74"/>
      <c r="C33" s="88" t="s">
        <v>126</v>
      </c>
      <c r="D33" s="74"/>
    </row>
  </sheetData>
  <mergeCells count="3">
    <mergeCell ref="A1:D1"/>
    <mergeCell ref="A3:D3"/>
    <mergeCell ref="F7:G7"/>
  </mergeCells>
  <pageMargins left="0.25" right="0.25" top="0.75" bottom="0.75" header="0.3" footer="0.3"/>
  <pageSetup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workbookViewId="0">
      <selection activeCell="D35" sqref="D35"/>
    </sheetView>
  </sheetViews>
  <sheetFormatPr defaultColWidth="9.125" defaultRowHeight="15" x14ac:dyDescent="0.25"/>
  <cols>
    <col min="1" max="5" width="24.375" style="100" customWidth="1"/>
    <col min="6" max="6" width="2.25" style="100" customWidth="1"/>
    <col min="7" max="8" width="24.375" style="100" customWidth="1"/>
    <col min="9" max="16384" width="9.125" style="100"/>
  </cols>
  <sheetData>
    <row r="1" spans="1:8" x14ac:dyDescent="0.25">
      <c r="A1" s="245" t="s">
        <v>18</v>
      </c>
      <c r="B1" s="246" t="s">
        <v>219</v>
      </c>
      <c r="C1" s="246" t="s">
        <v>220</v>
      </c>
      <c r="D1" s="246" t="s">
        <v>221</v>
      </c>
      <c r="E1" s="247" t="s">
        <v>222</v>
      </c>
      <c r="F1" s="248"/>
      <c r="G1" s="249" t="s">
        <v>223</v>
      </c>
      <c r="H1" s="247" t="s">
        <v>224</v>
      </c>
    </row>
    <row r="2" spans="1:8" x14ac:dyDescent="0.25">
      <c r="A2" s="250" t="s">
        <v>9</v>
      </c>
      <c r="B2" s="251">
        <f>SUM(E2*0.6)</f>
        <v>678907.2</v>
      </c>
      <c r="C2" s="251">
        <f>SUM(E2*0.7)</f>
        <v>792058.39999999991</v>
      </c>
      <c r="D2" s="251">
        <f>SUM(E2*0.8)</f>
        <v>905209.60000000009</v>
      </c>
      <c r="E2" s="252">
        <v>1131512</v>
      </c>
      <c r="F2" s="253"/>
      <c r="G2" s="254">
        <f>SUM(B2/1.65)</f>
        <v>411458.90909090906</v>
      </c>
      <c r="H2" s="255">
        <f>SUM(B2-G2)</f>
        <v>267448.29090909089</v>
      </c>
    </row>
    <row r="3" spans="1:8" x14ac:dyDescent="0.25">
      <c r="A3" s="250" t="s">
        <v>10</v>
      </c>
      <c r="B3" s="251">
        <f t="shared" ref="B3:B18" si="0">SUM(E3*0.6)</f>
        <v>182191.8</v>
      </c>
      <c r="C3" s="251">
        <f t="shared" ref="C3:C18" si="1">SUM(E3*0.7)</f>
        <v>212557.09999999998</v>
      </c>
      <c r="D3" s="251">
        <f t="shared" ref="D3:D18" si="2">SUM(E3*0.8)</f>
        <v>242922.40000000002</v>
      </c>
      <c r="E3" s="252">
        <v>303653</v>
      </c>
      <c r="F3" s="253"/>
      <c r="G3" s="254">
        <f t="shared" ref="G3:G18" si="3">SUM(B3/1.65)</f>
        <v>110419.27272727272</v>
      </c>
      <c r="H3" s="255">
        <f t="shared" ref="H3:H18" si="4">SUM(B3-G3)</f>
        <v>71772.527272727268</v>
      </c>
    </row>
    <row r="4" spans="1:8" x14ac:dyDescent="0.25">
      <c r="A4" s="250" t="s">
        <v>161</v>
      </c>
      <c r="B4" s="251">
        <f t="shared" si="0"/>
        <v>335934.6</v>
      </c>
      <c r="C4" s="251">
        <f t="shared" si="1"/>
        <v>391923.69999999995</v>
      </c>
      <c r="D4" s="251">
        <f t="shared" si="2"/>
        <v>447912.80000000005</v>
      </c>
      <c r="E4" s="252">
        <v>559891</v>
      </c>
      <c r="F4" s="253"/>
      <c r="G4" s="254">
        <f t="shared" si="3"/>
        <v>203596.72727272726</v>
      </c>
      <c r="H4" s="255">
        <f t="shared" si="4"/>
        <v>132337.87272727271</v>
      </c>
    </row>
    <row r="5" spans="1:8" x14ac:dyDescent="0.25">
      <c r="A5" s="250" t="s">
        <v>13</v>
      </c>
      <c r="B5" s="251">
        <f t="shared" si="0"/>
        <v>254812.19999999998</v>
      </c>
      <c r="C5" s="251">
        <f t="shared" si="1"/>
        <v>297280.89999999997</v>
      </c>
      <c r="D5" s="251">
        <f t="shared" si="2"/>
        <v>339749.60000000003</v>
      </c>
      <c r="E5" s="252">
        <v>424687</v>
      </c>
      <c r="F5" s="253"/>
      <c r="G5" s="254">
        <f t="shared" si="3"/>
        <v>154431.63636363635</v>
      </c>
      <c r="H5" s="255">
        <f t="shared" si="4"/>
        <v>100380.56363636363</v>
      </c>
    </row>
    <row r="6" spans="1:8" x14ac:dyDescent="0.25">
      <c r="A6" s="250" t="s">
        <v>15</v>
      </c>
      <c r="B6" s="251">
        <f t="shared" si="0"/>
        <v>323913</v>
      </c>
      <c r="C6" s="251">
        <f t="shared" si="1"/>
        <v>377898.5</v>
      </c>
      <c r="D6" s="251">
        <f t="shared" si="2"/>
        <v>431884</v>
      </c>
      <c r="E6" s="252">
        <v>539855</v>
      </c>
      <c r="F6" s="253"/>
      <c r="G6" s="254">
        <f t="shared" si="3"/>
        <v>196310.90909090909</v>
      </c>
      <c r="H6" s="255">
        <f t="shared" si="4"/>
        <v>127602.09090909091</v>
      </c>
    </row>
    <row r="7" spans="1:8" x14ac:dyDescent="0.25">
      <c r="A7" s="250" t="s">
        <v>12</v>
      </c>
      <c r="B7" s="251">
        <f t="shared" si="0"/>
        <v>549685.19999999995</v>
      </c>
      <c r="C7" s="251">
        <f t="shared" si="1"/>
        <v>641299.39999999991</v>
      </c>
      <c r="D7" s="251">
        <f t="shared" si="2"/>
        <v>732913.60000000009</v>
      </c>
      <c r="E7" s="252">
        <v>916142</v>
      </c>
      <c r="F7" s="253"/>
      <c r="G7" s="254">
        <f t="shared" si="3"/>
        <v>333142.54545454547</v>
      </c>
      <c r="H7" s="255">
        <f t="shared" si="4"/>
        <v>216542.65454545448</v>
      </c>
    </row>
    <row r="8" spans="1:8" x14ac:dyDescent="0.25">
      <c r="A8" s="250" t="s">
        <v>16</v>
      </c>
      <c r="B8" s="251">
        <f t="shared" si="0"/>
        <v>641725.19999999995</v>
      </c>
      <c r="C8" s="251">
        <f t="shared" si="1"/>
        <v>748679.39999999991</v>
      </c>
      <c r="D8" s="251">
        <f t="shared" si="2"/>
        <v>855633.60000000009</v>
      </c>
      <c r="E8" s="252">
        <v>1069542</v>
      </c>
      <c r="F8" s="253"/>
      <c r="G8" s="254">
        <f t="shared" si="3"/>
        <v>388924.36363636365</v>
      </c>
      <c r="H8" s="255">
        <f t="shared" si="4"/>
        <v>252800.83636363631</v>
      </c>
    </row>
    <row r="9" spans="1:8" x14ac:dyDescent="0.25">
      <c r="A9" s="250" t="s">
        <v>6</v>
      </c>
      <c r="B9" s="251">
        <f t="shared" si="0"/>
        <v>176932.19999999998</v>
      </c>
      <c r="C9" s="251">
        <f t="shared" si="1"/>
        <v>206420.9</v>
      </c>
      <c r="D9" s="251">
        <f t="shared" si="2"/>
        <v>235909.6</v>
      </c>
      <c r="E9" s="252">
        <v>294887</v>
      </c>
      <c r="F9" s="253"/>
      <c r="G9" s="254">
        <f t="shared" si="3"/>
        <v>107231.63636363635</v>
      </c>
      <c r="H9" s="255">
        <f t="shared" si="4"/>
        <v>69700.563636363629</v>
      </c>
    </row>
    <row r="10" spans="1:8" x14ac:dyDescent="0.25">
      <c r="A10" s="250" t="s">
        <v>4</v>
      </c>
      <c r="B10" s="251">
        <f t="shared" si="0"/>
        <v>338169</v>
      </c>
      <c r="C10" s="251">
        <f t="shared" si="1"/>
        <v>394530.5</v>
      </c>
      <c r="D10" s="251">
        <f t="shared" si="2"/>
        <v>450892</v>
      </c>
      <c r="E10" s="252">
        <v>563615</v>
      </c>
      <c r="F10" s="253"/>
      <c r="G10" s="254">
        <f t="shared" si="3"/>
        <v>204950.90909090909</v>
      </c>
      <c r="H10" s="255">
        <f t="shared" si="4"/>
        <v>133218.09090909091</v>
      </c>
    </row>
    <row r="11" spans="1:8" x14ac:dyDescent="0.25">
      <c r="A11" s="250" t="s">
        <v>14</v>
      </c>
      <c r="B11" s="251">
        <f t="shared" si="0"/>
        <v>596746.19999999995</v>
      </c>
      <c r="C11" s="251">
        <f t="shared" si="1"/>
        <v>696203.89999999991</v>
      </c>
      <c r="D11" s="251">
        <f t="shared" si="2"/>
        <v>795661.60000000009</v>
      </c>
      <c r="E11" s="252">
        <v>994577</v>
      </c>
      <c r="F11" s="253"/>
      <c r="G11" s="254">
        <f t="shared" si="3"/>
        <v>361664.36363636365</v>
      </c>
      <c r="H11" s="255">
        <f t="shared" si="4"/>
        <v>235081.83636363631</v>
      </c>
    </row>
    <row r="12" spans="1:8" x14ac:dyDescent="0.25">
      <c r="A12" s="250" t="s">
        <v>7</v>
      </c>
      <c r="B12" s="251">
        <f t="shared" si="0"/>
        <v>774543.6</v>
      </c>
      <c r="C12" s="251">
        <f t="shared" si="1"/>
        <v>903634.2</v>
      </c>
      <c r="D12" s="251">
        <f t="shared" si="2"/>
        <v>1032724.8</v>
      </c>
      <c r="E12" s="252">
        <v>1290906</v>
      </c>
      <c r="F12" s="253"/>
      <c r="G12" s="254">
        <f t="shared" si="3"/>
        <v>469420.36363636365</v>
      </c>
      <c r="H12" s="255">
        <f t="shared" si="4"/>
        <v>305123.23636363633</v>
      </c>
    </row>
    <row r="13" spans="1:8" x14ac:dyDescent="0.25">
      <c r="A13" s="250" t="s">
        <v>2</v>
      </c>
      <c r="B13" s="251">
        <f t="shared" si="0"/>
        <v>188341.8</v>
      </c>
      <c r="C13" s="251">
        <f t="shared" si="1"/>
        <v>219732.09999999998</v>
      </c>
      <c r="D13" s="251">
        <f t="shared" si="2"/>
        <v>251122.40000000002</v>
      </c>
      <c r="E13" s="252">
        <v>313903</v>
      </c>
      <c r="F13" s="253"/>
      <c r="G13" s="254">
        <f t="shared" si="3"/>
        <v>114146.54545454546</v>
      </c>
      <c r="H13" s="255">
        <f t="shared" si="4"/>
        <v>74195.254545454532</v>
      </c>
    </row>
    <row r="14" spans="1:8" x14ac:dyDescent="0.25">
      <c r="A14" s="250" t="s">
        <v>5</v>
      </c>
      <c r="B14" s="251">
        <f t="shared" si="0"/>
        <v>498874.8</v>
      </c>
      <c r="C14" s="251">
        <f t="shared" si="1"/>
        <v>582020.6</v>
      </c>
      <c r="D14" s="251">
        <f t="shared" si="2"/>
        <v>665166.4</v>
      </c>
      <c r="E14" s="252">
        <v>831458</v>
      </c>
      <c r="F14" s="253"/>
      <c r="G14" s="254">
        <f t="shared" si="3"/>
        <v>302348.36363636365</v>
      </c>
      <c r="H14" s="255">
        <f t="shared" si="4"/>
        <v>196526.43636363634</v>
      </c>
    </row>
    <row r="15" spans="1:8" x14ac:dyDescent="0.25">
      <c r="A15" s="250" t="s">
        <v>11</v>
      </c>
      <c r="B15" s="251">
        <f t="shared" si="0"/>
        <v>171885</v>
      </c>
      <c r="C15" s="251">
        <f t="shared" si="1"/>
        <v>200532.5</v>
      </c>
      <c r="D15" s="251">
        <f t="shared" si="2"/>
        <v>229180</v>
      </c>
      <c r="E15" s="252">
        <v>286475</v>
      </c>
      <c r="F15" s="253"/>
      <c r="G15" s="254">
        <f t="shared" si="3"/>
        <v>104172.72727272728</v>
      </c>
      <c r="H15" s="255">
        <f t="shared" si="4"/>
        <v>67712.272727272721</v>
      </c>
    </row>
    <row r="16" spans="1:8" x14ac:dyDescent="0.25">
      <c r="A16" s="250" t="s">
        <v>1</v>
      </c>
      <c r="B16" s="251">
        <f t="shared" si="0"/>
        <v>562983.6</v>
      </c>
      <c r="C16" s="251">
        <f t="shared" si="1"/>
        <v>656814.19999999995</v>
      </c>
      <c r="D16" s="251">
        <f t="shared" si="2"/>
        <v>750644.8</v>
      </c>
      <c r="E16" s="252">
        <v>938306</v>
      </c>
      <c r="F16" s="253"/>
      <c r="G16" s="254">
        <f t="shared" si="3"/>
        <v>341202.18181818182</v>
      </c>
      <c r="H16" s="255">
        <f t="shared" si="4"/>
        <v>221781.41818181815</v>
      </c>
    </row>
    <row r="17" spans="1:8" x14ac:dyDescent="0.25">
      <c r="A17" s="250" t="s">
        <v>3</v>
      </c>
      <c r="B17" s="251">
        <f t="shared" si="0"/>
        <v>221986.19999999998</v>
      </c>
      <c r="C17" s="251">
        <f t="shared" si="1"/>
        <v>258983.9</v>
      </c>
      <c r="D17" s="251">
        <f t="shared" si="2"/>
        <v>295981.60000000003</v>
      </c>
      <c r="E17" s="252">
        <v>369977</v>
      </c>
      <c r="F17" s="253"/>
      <c r="G17" s="254">
        <f t="shared" si="3"/>
        <v>134537.09090909091</v>
      </c>
      <c r="H17" s="255">
        <f t="shared" si="4"/>
        <v>87449.109090909071</v>
      </c>
    </row>
    <row r="18" spans="1:8" ht="15.75" thickBot="1" x14ac:dyDescent="0.3">
      <c r="A18" s="256" t="s">
        <v>8</v>
      </c>
      <c r="B18" s="251">
        <f t="shared" si="0"/>
        <v>973054.79999999993</v>
      </c>
      <c r="C18" s="251">
        <f t="shared" si="1"/>
        <v>1135230.5999999999</v>
      </c>
      <c r="D18" s="251">
        <f t="shared" si="2"/>
        <v>1297406.4000000001</v>
      </c>
      <c r="E18" s="252">
        <v>1621758</v>
      </c>
      <c r="F18" s="253"/>
      <c r="G18" s="254">
        <f t="shared" si="3"/>
        <v>589730.18181818177</v>
      </c>
      <c r="H18" s="255">
        <f t="shared" si="4"/>
        <v>383324.61818181816</v>
      </c>
    </row>
    <row r="19" spans="1:8" ht="15.75" thickBot="1" x14ac:dyDescent="0.3">
      <c r="A19" s="257" t="s">
        <v>225</v>
      </c>
      <c r="B19" s="258">
        <f t="shared" ref="B19:H19" si="5">SUM(B2:B18)</f>
        <v>7470686.3999999994</v>
      </c>
      <c r="C19" s="258">
        <f t="shared" si="5"/>
        <v>8715800.7999999989</v>
      </c>
      <c r="D19" s="258">
        <f t="shared" si="5"/>
        <v>9960915.2000000011</v>
      </c>
      <c r="E19" s="259">
        <f t="shared" si="5"/>
        <v>12451144</v>
      </c>
      <c r="F19" s="260"/>
      <c r="G19" s="261">
        <f t="shared" si="5"/>
        <v>4527688.7272727275</v>
      </c>
      <c r="H19" s="259">
        <f t="shared" si="5"/>
        <v>2942997.6727272724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Original Formula</vt:lpstr>
      <vt:lpstr>Updated - 1000 Model</vt:lpstr>
      <vt:lpstr>Updated Model Agencies</vt:lpstr>
      <vt:lpstr>Reconciliation SK 15-16</vt:lpstr>
      <vt:lpstr>SK Methodology Notes</vt:lpstr>
      <vt:lpstr>Budget 2016</vt:lpstr>
      <vt:lpstr>'Reconciliation SK 15-16'!Print_Area</vt:lpstr>
      <vt:lpstr>'SK Methodology Notes'!Print_Area</vt:lpstr>
      <vt:lpstr>'Updated Model Agencies'!Print_Area</vt:lpstr>
    </vt:vector>
  </TitlesOfParts>
  <Company>AADNC-AANDC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Sabrina Kabir</dc:creator>
  <cp:lastModifiedBy>Author</cp:lastModifiedBy>
  <cp:lastPrinted>2016-01-21T15:08:08Z</cp:lastPrinted>
  <dcterms:created xsi:type="dcterms:W3CDTF">2015-10-23T18:01:04Z</dcterms:created>
  <dcterms:modified xsi:type="dcterms:W3CDTF">2016-10-04T14:34:04Z</dcterms:modified>
  <cp:contentStatus>Final</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MarkAsFinal">
    <vt:bool>true</vt:bool>
  </property>
</Properties>
</file>